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Grönan DC 2021-22/"/>
    </mc:Choice>
  </mc:AlternateContent>
  <xr:revisionPtr revIDLastSave="504" documentId="8_{9B409C2C-838A-409F-A541-A15CA0AC0C0D}" xr6:coauthVersionLast="47" xr6:coauthVersionMax="47" xr10:uidLastSave="{D2C2AD63-447A-48AD-87FE-BB36835FAB13}"/>
  <bookViews>
    <workbookView xWindow="-120" yWindow="-120" windowWidth="29040" windowHeight="15720" activeTab="2" xr2:uid="{00000000-000D-0000-FFFF-FFFF00000000}"/>
  </bookViews>
  <sheets>
    <sheet name="tilasto" sheetId="9" r:id="rId1"/>
    <sheet name="Ottelu 1" sheetId="10" r:id="rId2"/>
    <sheet name="Ottelu 2" sheetId="19" r:id="rId3"/>
    <sheet name="OHJE" sheetId="17" r:id="rId4"/>
  </sheets>
  <definedNames>
    <definedName name="_xlnm._FilterDatabase" localSheetId="1" hidden="1">'Ottelu 1'!#REF!</definedName>
    <definedName name="_xlnm._FilterDatabase" localSheetId="2" hidden="1">'Ottelu 2'!#REF!</definedName>
    <definedName name="_xlnm.Criteria" localSheetId="1">'Ottelu 1'!#REF!</definedName>
    <definedName name="_xlnm.Criteria" localSheetId="2">'Ottelu 2'!#REF!</definedName>
    <definedName name="Joukkue_A_aloittaa_ruksilla__x__merkityt_ottelut" localSheetId="2">'Ottelu 2'!#REF!</definedName>
    <definedName name="Joukkue_A_aloittaa_ruksilla__x__merkityt_ottelut">'Ottelu 1'!#REF!</definedName>
    <definedName name="L" comment="LISÄPELI" localSheetId="1">'Ottelu 1'!$A$139</definedName>
    <definedName name="L" comment="LISÄPELI" localSheetId="2">'Ottelu 2'!$A$139</definedName>
    <definedName name="L">#REF!</definedName>
    <definedName name="OTTELU_1" localSheetId="2">'Ottelu 2'!$A$44</definedName>
    <definedName name="OTTELU_1">'Ottelu 1'!$A$44</definedName>
    <definedName name="OTTELU_2" localSheetId="2">'Ottelu 2'!$B$56</definedName>
    <definedName name="OTTELU_2">'Ottelu 1'!$B$56</definedName>
    <definedName name="OTTELU_3" localSheetId="2">'Ottelu 2'!$B$68</definedName>
    <definedName name="OTTELU_3">'Ottelu 1'!$B$68</definedName>
    <definedName name="OTTELU_4" localSheetId="2">'Ottelu 2'!$B$81</definedName>
    <definedName name="OTTELU_4">'Ottelu 1'!$B$81</definedName>
    <definedName name="OTTELU_5" localSheetId="2">'Ottelu 2'!$B$93</definedName>
    <definedName name="OTTELU_5">'Ottelu 1'!$B$93</definedName>
    <definedName name="OTTELU_6" localSheetId="2">'Ottelu 2'!$B$105</definedName>
    <definedName name="OTTELU_6">'Ottelu 1'!$B$105</definedName>
    <definedName name="OTTELU_7" localSheetId="2">'Ottelu 2'!$A$116</definedName>
    <definedName name="OTTELU_7">'Ottelu 1'!$A$116</definedName>
    <definedName name="OTTELU_8" localSheetId="2">'Ottelu 2'!$B$128</definedName>
    <definedName name="OTTELU_8">'Ottelu 1'!$B$128</definedName>
    <definedName name="pekka" localSheetId="2">'Ottelu 2'!#REF!</definedName>
    <definedName name="pekka">'Ottelu 1'!#REF!</definedName>
    <definedName name="pelaaja2_1" localSheetId="2">'Ottelu 2'!#REF!</definedName>
    <definedName name="pelaaja2_1">'Ottelu 1'!#REF!</definedName>
    <definedName name="pelaajat" localSheetId="2">'Ottelu 2'!#REF!</definedName>
    <definedName name="pelaajat">'Ottelu 1'!#REF!</definedName>
    <definedName name="Peli1JoukkueA" localSheetId="2">'Ottelu 2'!#REF!</definedName>
    <definedName name="Peli1JoukkueA">'Ottelu 1'!#REF!</definedName>
    <definedName name="Peli1JoukkueB" localSheetId="2">'Ottelu 2'!#REF!</definedName>
    <definedName name="Peli1JoukkueB">'Ottelu 1'!#REF!</definedName>
    <definedName name="top" localSheetId="2">'Ottelu 2'!$B$5</definedName>
    <definedName name="top">'Ottelu 1'!#REF!</definedName>
    <definedName name="_xlnm.Print_Area" localSheetId="3">OHJE!$B$1:$B$15</definedName>
    <definedName name="_xlnm.Print_Area" localSheetId="1">'Ottelu 1'!$A$1:$AK$29</definedName>
    <definedName name="_xlnm.Print_Area" localSheetId="2">'Ottelu 2'!$A$1:$AK$29</definedName>
    <definedName name="_xlnm.Print_Area" localSheetId="0">tilasto!$B$1:$L$34</definedName>
    <definedName name="Z_D7BA83DF_7FB9_4BC8_8608_11C4C7AC2BBD_.wvu.PrintArea" localSheetId="1" hidden="1">'Ottelu 1'!$A$1:$AK$30</definedName>
    <definedName name="Z_D7BA83DF_7FB9_4BC8_8608_11C4C7AC2BBD_.wvu.PrintArea" localSheetId="2" hidden="1">'Ottelu 2'!$A$1:$AK$30</definedName>
    <definedName name="Z_D7BA83DF_7FB9_4BC8_8608_11C4C7AC2BBD_.wvu.PrintArea" localSheetId="0" hidden="1">tilasto!$B$1:$N$32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19" l="1"/>
  <c r="P10" i="19"/>
  <c r="P11" i="19"/>
  <c r="P12" i="19"/>
  <c r="P9" i="19"/>
  <c r="C10" i="19"/>
  <c r="C11" i="19"/>
  <c r="C12" i="19"/>
  <c r="C9" i="19"/>
  <c r="P10" i="10"/>
  <c r="P11" i="10"/>
  <c r="P12" i="10"/>
  <c r="P9" i="10"/>
  <c r="C10" i="10"/>
  <c r="C11" i="10"/>
  <c r="C12" i="10"/>
  <c r="C9" i="10"/>
  <c r="T2" i="19"/>
  <c r="T2" i="10"/>
  <c r="C18" i="19" l="1"/>
  <c r="C17" i="19"/>
  <c r="C19" i="19"/>
  <c r="C21" i="19"/>
  <c r="C20" i="19"/>
  <c r="C16" i="19"/>
  <c r="O27" i="19"/>
  <c r="O28" i="19"/>
  <c r="O29" i="19"/>
  <c r="O26" i="19"/>
  <c r="B28" i="19"/>
  <c r="J21" i="19"/>
  <c r="J20" i="19"/>
  <c r="J19" i="19"/>
  <c r="J18" i="19"/>
  <c r="J17" i="19"/>
  <c r="J16" i="19"/>
  <c r="J15" i="19"/>
  <c r="J14" i="19"/>
  <c r="D145" i="10"/>
  <c r="D141" i="19"/>
  <c r="G141" i="19"/>
  <c r="D21" i="9" l="1"/>
  <c r="C14" i="19"/>
  <c r="B26" i="19"/>
  <c r="C15" i="19"/>
  <c r="B27" i="19"/>
  <c r="B29" i="19"/>
  <c r="D141" i="10"/>
  <c r="G147" i="19"/>
  <c r="D147" i="19"/>
  <c r="M140" i="19"/>
  <c r="M141" i="19"/>
  <c r="M142" i="19"/>
  <c r="M143" i="19"/>
  <c r="M144" i="19"/>
  <c r="M145" i="19"/>
  <c r="M146" i="19"/>
  <c r="M147" i="19"/>
  <c r="L145" i="19"/>
  <c r="L144" i="19"/>
  <c r="L143" i="19"/>
  <c r="L142" i="19"/>
  <c r="L141" i="19"/>
  <c r="L140" i="19"/>
  <c r="G144" i="19"/>
  <c r="G145" i="19"/>
  <c r="G146" i="19"/>
  <c r="G140" i="19"/>
  <c r="G143" i="19"/>
  <c r="G142" i="19"/>
  <c r="D146" i="19"/>
  <c r="D145" i="19"/>
  <c r="D144" i="19"/>
  <c r="D143" i="19"/>
  <c r="D142" i="19"/>
  <c r="D140" i="19"/>
  <c r="L147" i="19"/>
  <c r="L146" i="19"/>
  <c r="A145" i="19"/>
  <c r="A146" i="19"/>
  <c r="A147" i="19"/>
  <c r="A144" i="19"/>
  <c r="AL14" i="19"/>
  <c r="AL15" i="19"/>
  <c r="AL16" i="19"/>
  <c r="AL17" i="19"/>
  <c r="AL18" i="19"/>
  <c r="AL21" i="19"/>
  <c r="AM21" i="19"/>
  <c r="AM14" i="19"/>
  <c r="AM15" i="19"/>
  <c r="AM16" i="19"/>
  <c r="AM17" i="19"/>
  <c r="AM18" i="19"/>
  <c r="D12" i="9" l="1"/>
  <c r="S3" i="19"/>
  <c r="R3" i="19"/>
  <c r="S3" i="10"/>
  <c r="AM21" i="10"/>
  <c r="AL21" i="10"/>
  <c r="AM18" i="10"/>
  <c r="AL18" i="10"/>
  <c r="L142" i="10"/>
  <c r="H13" i="9" s="1"/>
  <c r="M140" i="10"/>
  <c r="I11" i="9" s="1"/>
  <c r="M141" i="10"/>
  <c r="I12" i="9" s="1"/>
  <c r="M142" i="10"/>
  <c r="I13" i="9" s="1"/>
  <c r="M143" i="10"/>
  <c r="I14" i="9" s="1"/>
  <c r="M144" i="10"/>
  <c r="I20" i="9" s="1"/>
  <c r="M145" i="10"/>
  <c r="I21" i="9" s="1"/>
  <c r="M146" i="10"/>
  <c r="I22" i="9" s="1"/>
  <c r="M147" i="10"/>
  <c r="I23" i="9" s="1"/>
  <c r="L147" i="10"/>
  <c r="H23" i="9" s="1"/>
  <c r="L146" i="10"/>
  <c r="H22" i="9" s="1"/>
  <c r="L145" i="10"/>
  <c r="H21" i="9" s="1"/>
  <c r="L144" i="10"/>
  <c r="H20" i="9" s="1"/>
  <c r="L143" i="10"/>
  <c r="H14" i="9" s="1"/>
  <c r="L141" i="10"/>
  <c r="H12" i="9" s="1"/>
  <c r="L140" i="10"/>
  <c r="H11" i="9" s="1"/>
  <c r="G147" i="10"/>
  <c r="G146" i="10"/>
  <c r="G145" i="10"/>
  <c r="G144" i="10"/>
  <c r="G143" i="10"/>
  <c r="G142" i="10"/>
  <c r="G141" i="10"/>
  <c r="G140" i="10"/>
  <c r="D147" i="10"/>
  <c r="D23" i="9" s="1"/>
  <c r="D146" i="10"/>
  <c r="D22" i="9" s="1"/>
  <c r="D144" i="10"/>
  <c r="D20" i="9" s="1"/>
  <c r="D143" i="10"/>
  <c r="D14" i="9" s="1"/>
  <c r="D142" i="10"/>
  <c r="D13" i="9" s="1"/>
  <c r="D140" i="10"/>
  <c r="D11" i="9" s="1"/>
  <c r="C21" i="10"/>
  <c r="O6" i="10"/>
  <c r="B6" i="19"/>
  <c r="A13" i="19" s="1"/>
  <c r="C118" i="19"/>
  <c r="C106" i="19"/>
  <c r="C94" i="19"/>
  <c r="C82" i="19"/>
  <c r="J14" i="10"/>
  <c r="C58" i="19" l="1"/>
  <c r="H58" i="19" s="1"/>
  <c r="A142" i="19"/>
  <c r="C70" i="19"/>
  <c r="H70" i="19" s="1"/>
  <c r="A143" i="19"/>
  <c r="C34" i="19"/>
  <c r="H34" i="19" s="1"/>
  <c r="A140" i="19"/>
  <c r="C46" i="19"/>
  <c r="A141" i="19"/>
  <c r="AD135" i="19"/>
  <c r="AD134" i="19"/>
  <c r="V134" i="19"/>
  <c r="AD133" i="19"/>
  <c r="AD132" i="19"/>
  <c r="M128" i="19"/>
  <c r="L128" i="19"/>
  <c r="D128" i="19"/>
  <c r="C128" i="19"/>
  <c r="AD127" i="19"/>
  <c r="N127" i="19"/>
  <c r="AJ21" i="19" s="1"/>
  <c r="E127" i="19"/>
  <c r="AB21" i="19" s="1"/>
  <c r="AD126" i="19"/>
  <c r="N126" i="19"/>
  <c r="AI21" i="19" s="1"/>
  <c r="E126" i="19"/>
  <c r="AA21" i="19" s="1"/>
  <c r="AD125" i="19"/>
  <c r="N125" i="19"/>
  <c r="AH21" i="19" s="1"/>
  <c r="E125" i="19"/>
  <c r="Z21" i="19" s="1"/>
  <c r="AD124" i="19"/>
  <c r="N124" i="19"/>
  <c r="E124" i="19"/>
  <c r="Y21" i="19" s="1"/>
  <c r="AD123" i="19"/>
  <c r="N123" i="19"/>
  <c r="AF21" i="19" s="1"/>
  <c r="E123" i="19"/>
  <c r="AD122" i="19"/>
  <c r="N122" i="19"/>
  <c r="E122" i="19"/>
  <c r="AD121" i="19"/>
  <c r="N121" i="19"/>
  <c r="E121" i="19"/>
  <c r="M116" i="19"/>
  <c r="L116" i="19"/>
  <c r="D116" i="19"/>
  <c r="C116" i="19"/>
  <c r="AD115" i="19"/>
  <c r="N115" i="19"/>
  <c r="AJ20" i="19" s="1"/>
  <c r="E115" i="19"/>
  <c r="AD114" i="19"/>
  <c r="N114" i="19"/>
  <c r="AI20" i="19" s="1"/>
  <c r="E114" i="19"/>
  <c r="AA20" i="19" s="1"/>
  <c r="AD113" i="19"/>
  <c r="N113" i="19"/>
  <c r="AH20" i="19" s="1"/>
  <c r="E113" i="19"/>
  <c r="Z20" i="19" s="1"/>
  <c r="AD112" i="19"/>
  <c r="N112" i="19"/>
  <c r="E112" i="19"/>
  <c r="AD111" i="19"/>
  <c r="N111" i="19"/>
  <c r="E111" i="19"/>
  <c r="X20" i="19" s="1"/>
  <c r="AD110" i="19"/>
  <c r="N110" i="19"/>
  <c r="AE20" i="19" s="1"/>
  <c r="E110" i="19"/>
  <c r="AD109" i="19"/>
  <c r="N109" i="19"/>
  <c r="E109" i="19"/>
  <c r="M104" i="19"/>
  <c r="L104" i="19"/>
  <c r="D104" i="19"/>
  <c r="C104" i="19"/>
  <c r="AD103" i="19"/>
  <c r="N103" i="19"/>
  <c r="AJ19" i="19" s="1"/>
  <c r="E103" i="19"/>
  <c r="AB19" i="19" s="1"/>
  <c r="AD102" i="19"/>
  <c r="N102" i="19"/>
  <c r="AI19" i="19" s="1"/>
  <c r="E102" i="19"/>
  <c r="AA19" i="19" s="1"/>
  <c r="AD101" i="19"/>
  <c r="N101" i="19"/>
  <c r="AH19" i="19" s="1"/>
  <c r="E101" i="19"/>
  <c r="Z19" i="19" s="1"/>
  <c r="AD100" i="19"/>
  <c r="N100" i="19"/>
  <c r="E100" i="19"/>
  <c r="Y19" i="19" s="1"/>
  <c r="AD99" i="19"/>
  <c r="N99" i="19"/>
  <c r="E99" i="19"/>
  <c r="AD98" i="19"/>
  <c r="N98" i="19"/>
  <c r="E98" i="19"/>
  <c r="AD97" i="19"/>
  <c r="N97" i="19"/>
  <c r="E97" i="19"/>
  <c r="M92" i="19"/>
  <c r="L92" i="19"/>
  <c r="D92" i="19"/>
  <c r="C92" i="19"/>
  <c r="AD91" i="19"/>
  <c r="N91" i="19"/>
  <c r="AJ18" i="19" s="1"/>
  <c r="E91" i="19"/>
  <c r="AB18" i="19" s="1"/>
  <c r="AD90" i="19"/>
  <c r="N90" i="19"/>
  <c r="AI18" i="19" s="1"/>
  <c r="E90" i="19"/>
  <c r="AA18" i="19" s="1"/>
  <c r="AD89" i="19"/>
  <c r="N89" i="19"/>
  <c r="AH18" i="19" s="1"/>
  <c r="E89" i="19"/>
  <c r="Z18" i="19" s="1"/>
  <c r="AD88" i="19"/>
  <c r="N88" i="19"/>
  <c r="AG18" i="19" s="1"/>
  <c r="E88" i="19"/>
  <c r="AD87" i="19"/>
  <c r="N87" i="19"/>
  <c r="E87" i="19"/>
  <c r="X18" i="19" s="1"/>
  <c r="AD86" i="19"/>
  <c r="N86" i="19"/>
  <c r="E86" i="19"/>
  <c r="W18" i="19" s="1"/>
  <c r="AD85" i="19"/>
  <c r="N85" i="19"/>
  <c r="E85" i="19"/>
  <c r="M80" i="19"/>
  <c r="L80" i="19"/>
  <c r="D80" i="19"/>
  <c r="C80" i="19"/>
  <c r="AD79" i="19"/>
  <c r="N79" i="19"/>
  <c r="AJ17" i="19" s="1"/>
  <c r="E79" i="19"/>
  <c r="AB17" i="19" s="1"/>
  <c r="AD78" i="19"/>
  <c r="N78" i="19"/>
  <c r="AI17" i="19" s="1"/>
  <c r="E78" i="19"/>
  <c r="AA17" i="19" s="1"/>
  <c r="AD77" i="19"/>
  <c r="N77" i="19"/>
  <c r="AH17" i="19" s="1"/>
  <c r="E77" i="19"/>
  <c r="Z17" i="19" s="1"/>
  <c r="AD76" i="19"/>
  <c r="N76" i="19"/>
  <c r="E76" i="19"/>
  <c r="Y17" i="19" s="1"/>
  <c r="AD75" i="19"/>
  <c r="N75" i="19"/>
  <c r="AF17" i="19" s="1"/>
  <c r="E75" i="19"/>
  <c r="AD74" i="19"/>
  <c r="N74" i="19"/>
  <c r="AE17" i="19" s="1"/>
  <c r="E74" i="19"/>
  <c r="AD73" i="19"/>
  <c r="N73" i="19"/>
  <c r="E73" i="19"/>
  <c r="M68" i="19"/>
  <c r="L68" i="19"/>
  <c r="D68" i="19"/>
  <c r="C68" i="19"/>
  <c r="AD67" i="19"/>
  <c r="N67" i="19"/>
  <c r="AJ16" i="19" s="1"/>
  <c r="E67" i="19"/>
  <c r="AB16" i="19" s="1"/>
  <c r="AD66" i="19"/>
  <c r="N66" i="19"/>
  <c r="AI16" i="19" s="1"/>
  <c r="E66" i="19"/>
  <c r="AA16" i="19" s="1"/>
  <c r="AD65" i="19"/>
  <c r="N65" i="19"/>
  <c r="AH16" i="19" s="1"/>
  <c r="E65" i="19"/>
  <c r="Z16" i="19" s="1"/>
  <c r="AD64" i="19"/>
  <c r="N64" i="19"/>
  <c r="AG16" i="19" s="1"/>
  <c r="E64" i="19"/>
  <c r="AD63" i="19"/>
  <c r="N63" i="19"/>
  <c r="AF16" i="19" s="1"/>
  <c r="E63" i="19"/>
  <c r="AD62" i="19"/>
  <c r="N62" i="19"/>
  <c r="AE16" i="19" s="1"/>
  <c r="E62" i="19"/>
  <c r="AD61" i="19"/>
  <c r="N61" i="19"/>
  <c r="E61" i="19"/>
  <c r="M56" i="19"/>
  <c r="L56" i="19"/>
  <c r="D56" i="19"/>
  <c r="C56" i="19"/>
  <c r="AD55" i="19"/>
  <c r="N55" i="19"/>
  <c r="AJ15" i="19" s="1"/>
  <c r="E55" i="19"/>
  <c r="AB15" i="19" s="1"/>
  <c r="AD54" i="19"/>
  <c r="N54" i="19"/>
  <c r="AI15" i="19" s="1"/>
  <c r="E54" i="19"/>
  <c r="AA15" i="19" s="1"/>
  <c r="AD53" i="19"/>
  <c r="N53" i="19"/>
  <c r="AH15" i="19" s="1"/>
  <c r="E53" i="19"/>
  <c r="Z15" i="19" s="1"/>
  <c r="AD52" i="19"/>
  <c r="N52" i="19"/>
  <c r="AG15" i="19" s="1"/>
  <c r="E52" i="19"/>
  <c r="AD51" i="19"/>
  <c r="N51" i="19"/>
  <c r="E51" i="19"/>
  <c r="X15" i="19" s="1"/>
  <c r="AD50" i="19"/>
  <c r="N50" i="19"/>
  <c r="E50" i="19"/>
  <c r="W15" i="19" s="1"/>
  <c r="AD49" i="19"/>
  <c r="N49" i="19"/>
  <c r="E49" i="19"/>
  <c r="M44" i="19"/>
  <c r="L44" i="19"/>
  <c r="D44" i="19"/>
  <c r="C44" i="19"/>
  <c r="AD43" i="19"/>
  <c r="N43" i="19"/>
  <c r="AJ14" i="19" s="1"/>
  <c r="E43" i="19"/>
  <c r="AB14" i="19" s="1"/>
  <c r="AD42" i="19"/>
  <c r="N42" i="19"/>
  <c r="AI14" i="19" s="1"/>
  <c r="E42" i="19"/>
  <c r="AA14" i="19" s="1"/>
  <c r="AD41" i="19"/>
  <c r="N41" i="19"/>
  <c r="AH14" i="19" s="1"/>
  <c r="E41" i="19"/>
  <c r="Z14" i="19" s="1"/>
  <c r="AD40" i="19"/>
  <c r="N40" i="19"/>
  <c r="AG14" i="19" s="1"/>
  <c r="E40" i="19"/>
  <c r="Y14" i="19" s="1"/>
  <c r="AD39" i="19"/>
  <c r="N39" i="19"/>
  <c r="AF14" i="19" s="1"/>
  <c r="E39" i="19"/>
  <c r="X14" i="19" s="1"/>
  <c r="AD38" i="19"/>
  <c r="N38" i="19"/>
  <c r="AE14" i="19" s="1"/>
  <c r="E38" i="19"/>
  <c r="AD37" i="19"/>
  <c r="N37" i="19"/>
  <c r="AD14" i="19" s="1"/>
  <c r="E37" i="19"/>
  <c r="L46" i="19"/>
  <c r="S46" i="19" s="1"/>
  <c r="L70" i="19"/>
  <c r="S70" i="19" s="1"/>
  <c r="L58" i="19"/>
  <c r="L118" i="19"/>
  <c r="S118" i="19" s="1"/>
  <c r="AM20" i="19"/>
  <c r="AL20" i="19"/>
  <c r="L94" i="19"/>
  <c r="S94" i="19" s="1"/>
  <c r="AM19" i="19"/>
  <c r="AL19" i="19"/>
  <c r="L106" i="19"/>
  <c r="S106" i="19" s="1"/>
  <c r="H82" i="19"/>
  <c r="O6" i="19"/>
  <c r="C44" i="10"/>
  <c r="O27" i="10"/>
  <c r="O28" i="10"/>
  <c r="O29" i="10"/>
  <c r="R3" i="10"/>
  <c r="J15" i="10"/>
  <c r="L46" i="10" s="1"/>
  <c r="S46" i="10" s="1"/>
  <c r="B6" i="10"/>
  <c r="A13" i="10" s="1"/>
  <c r="AD37" i="10"/>
  <c r="B27" i="10"/>
  <c r="B28" i="10"/>
  <c r="B29" i="10"/>
  <c r="O26" i="10"/>
  <c r="B26" i="10"/>
  <c r="N76" i="10"/>
  <c r="A145" i="10"/>
  <c r="A146" i="10"/>
  <c r="A147" i="10"/>
  <c r="A144" i="10"/>
  <c r="A141" i="10"/>
  <c r="A142" i="10"/>
  <c r="A143" i="10"/>
  <c r="A140" i="10"/>
  <c r="AD137" i="10"/>
  <c r="AD136" i="10"/>
  <c r="AD135" i="10"/>
  <c r="AD134" i="10"/>
  <c r="V134" i="10"/>
  <c r="AD133" i="10"/>
  <c r="AD132" i="10"/>
  <c r="V132" i="10"/>
  <c r="AD126" i="10"/>
  <c r="AD127" i="10"/>
  <c r="AD114" i="10"/>
  <c r="AD115" i="10"/>
  <c r="AD102" i="10"/>
  <c r="AD103" i="10"/>
  <c r="AD90" i="10"/>
  <c r="AD91" i="10"/>
  <c r="AD78" i="10"/>
  <c r="AD79" i="10"/>
  <c r="AD66" i="10"/>
  <c r="AD67" i="10"/>
  <c r="M128" i="10"/>
  <c r="L128" i="10"/>
  <c r="D128" i="10"/>
  <c r="C128" i="10"/>
  <c r="M116" i="10"/>
  <c r="L116" i="10"/>
  <c r="D116" i="10"/>
  <c r="C116" i="10"/>
  <c r="M104" i="10"/>
  <c r="L104" i="10"/>
  <c r="D104" i="10"/>
  <c r="C104" i="10"/>
  <c r="M92" i="10"/>
  <c r="L92" i="10"/>
  <c r="D92" i="10"/>
  <c r="C92" i="10"/>
  <c r="M80" i="10"/>
  <c r="L80" i="10"/>
  <c r="D80" i="10"/>
  <c r="C80" i="10"/>
  <c r="M68" i="10"/>
  <c r="L68" i="10"/>
  <c r="D68" i="10"/>
  <c r="C68" i="10"/>
  <c r="N126" i="10"/>
  <c r="AI21" i="10" s="1"/>
  <c r="N127" i="10"/>
  <c r="AJ21" i="10" s="1"/>
  <c r="N114" i="10"/>
  <c r="AI20" i="10" s="1"/>
  <c r="N115" i="10"/>
  <c r="AJ20" i="10" s="1"/>
  <c r="N102" i="10"/>
  <c r="AI19" i="10" s="1"/>
  <c r="N103" i="10"/>
  <c r="AJ19" i="10" s="1"/>
  <c r="N90" i="10"/>
  <c r="AI18" i="10" s="1"/>
  <c r="N91" i="10"/>
  <c r="AJ18" i="10" s="1"/>
  <c r="N78" i="10"/>
  <c r="AI17" i="10" s="1"/>
  <c r="N79" i="10"/>
  <c r="AJ17" i="10" s="1"/>
  <c r="N66" i="10"/>
  <c r="N67" i="10"/>
  <c r="AJ16" i="10" s="1"/>
  <c r="E126" i="10"/>
  <c r="AA21" i="10" s="1"/>
  <c r="E127" i="10"/>
  <c r="AB21" i="10" s="1"/>
  <c r="E114" i="10"/>
  <c r="AA20" i="10" s="1"/>
  <c r="E115" i="10"/>
  <c r="AB20" i="10" s="1"/>
  <c r="E102" i="10"/>
  <c r="E103" i="10"/>
  <c r="AB19" i="10" s="1"/>
  <c r="E90" i="10"/>
  <c r="AA18" i="10" s="1"/>
  <c r="E91" i="10"/>
  <c r="AB18" i="10" s="1"/>
  <c r="E78" i="10"/>
  <c r="AA17" i="10" s="1"/>
  <c r="E79" i="10"/>
  <c r="E66" i="10"/>
  <c r="AA16" i="10" s="1"/>
  <c r="E67" i="10"/>
  <c r="AB16" i="10" s="1"/>
  <c r="M56" i="10"/>
  <c r="L56" i="10"/>
  <c r="D56" i="10"/>
  <c r="C56" i="10"/>
  <c r="AD54" i="10"/>
  <c r="AD55" i="10"/>
  <c r="N54" i="10"/>
  <c r="AI15" i="10" s="1"/>
  <c r="N55" i="10"/>
  <c r="AJ15" i="10" s="1"/>
  <c r="E54" i="10"/>
  <c r="AA15" i="10" s="1"/>
  <c r="E55" i="10"/>
  <c r="AD38" i="10"/>
  <c r="AD39" i="10"/>
  <c r="AD40" i="10"/>
  <c r="AD41" i="10"/>
  <c r="AD42" i="10"/>
  <c r="AD43" i="10"/>
  <c r="M44" i="10"/>
  <c r="L44" i="10"/>
  <c r="D44" i="10"/>
  <c r="N42" i="10"/>
  <c r="AI14" i="10" s="1"/>
  <c r="N43" i="10"/>
  <c r="AJ14" i="10" s="1"/>
  <c r="E42" i="10"/>
  <c r="E43" i="10"/>
  <c r="AB14" i="10" s="1"/>
  <c r="J18" i="10"/>
  <c r="J21" i="10"/>
  <c r="J20" i="10"/>
  <c r="J19" i="10"/>
  <c r="J17" i="10"/>
  <c r="L70" i="10" s="1"/>
  <c r="S70" i="10" s="1"/>
  <c r="J16" i="10"/>
  <c r="L58" i="10" s="1"/>
  <c r="S58" i="10" s="1"/>
  <c r="L34" i="10"/>
  <c r="S34" i="10" s="1"/>
  <c r="C18" i="10"/>
  <c r="C20" i="10"/>
  <c r="C19" i="10"/>
  <c r="C17" i="10"/>
  <c r="C70" i="10" s="1"/>
  <c r="H70" i="10" s="1"/>
  <c r="C16" i="10"/>
  <c r="C15" i="10"/>
  <c r="C14" i="10"/>
  <c r="AD125" i="10"/>
  <c r="AD124" i="10"/>
  <c r="AD123" i="10"/>
  <c r="AD122" i="10"/>
  <c r="AD121" i="10"/>
  <c r="AD113" i="10"/>
  <c r="AD112" i="10"/>
  <c r="AD111" i="10"/>
  <c r="AD110" i="10"/>
  <c r="AD109" i="10"/>
  <c r="AD101" i="10"/>
  <c r="AD100" i="10"/>
  <c r="AD99" i="10"/>
  <c r="AD98" i="10"/>
  <c r="AD97" i="10"/>
  <c r="AD89" i="10"/>
  <c r="AD88" i="10"/>
  <c r="AD87" i="10"/>
  <c r="AD86" i="10"/>
  <c r="AD85" i="10"/>
  <c r="AD77" i="10"/>
  <c r="AD76" i="10"/>
  <c r="AD75" i="10"/>
  <c r="AD74" i="10"/>
  <c r="AD73" i="10"/>
  <c r="AD65" i="10"/>
  <c r="AD64" i="10"/>
  <c r="AD63" i="10"/>
  <c r="AD62" i="10"/>
  <c r="AD61" i="10"/>
  <c r="AD53" i="10"/>
  <c r="AD52" i="10"/>
  <c r="AD51" i="10"/>
  <c r="AD50" i="10"/>
  <c r="AD49" i="10"/>
  <c r="AL20" i="10"/>
  <c r="AM20" i="10"/>
  <c r="AL19" i="10"/>
  <c r="AM19" i="10"/>
  <c r="AL17" i="10"/>
  <c r="AM17" i="10"/>
  <c r="AL16" i="10"/>
  <c r="AM16" i="10"/>
  <c r="AL15" i="10"/>
  <c r="AM15" i="10"/>
  <c r="AL14" i="10"/>
  <c r="AM14" i="10"/>
  <c r="E37" i="10"/>
  <c r="E61" i="10"/>
  <c r="E49" i="10"/>
  <c r="N49" i="10"/>
  <c r="N125" i="10"/>
  <c r="AH21" i="10" s="1"/>
  <c r="N124" i="10"/>
  <c r="AG21" i="10" s="1"/>
  <c r="N123" i="10"/>
  <c r="AF21" i="10" s="1"/>
  <c r="N122" i="10"/>
  <c r="AE21" i="10" s="1"/>
  <c r="N121" i="10"/>
  <c r="E125" i="10"/>
  <c r="Z21" i="10" s="1"/>
  <c r="E124" i="10"/>
  <c r="Y21" i="10" s="1"/>
  <c r="E123" i="10"/>
  <c r="X21" i="10" s="1"/>
  <c r="E122" i="10"/>
  <c r="W21" i="10" s="1"/>
  <c r="E121" i="10"/>
  <c r="N113" i="10"/>
  <c r="AH20" i="10" s="1"/>
  <c r="E113" i="10"/>
  <c r="Z20" i="10" s="1"/>
  <c r="N112" i="10"/>
  <c r="E112" i="10"/>
  <c r="Y20" i="10" s="1"/>
  <c r="N111" i="10"/>
  <c r="AF20" i="10" s="1"/>
  <c r="E111" i="10"/>
  <c r="N110" i="10"/>
  <c r="AE20" i="10" s="1"/>
  <c r="E110" i="10"/>
  <c r="N109" i="10"/>
  <c r="E109" i="10"/>
  <c r="N101" i="10"/>
  <c r="AH19" i="10" s="1"/>
  <c r="E101" i="10"/>
  <c r="Z19" i="10" s="1"/>
  <c r="N100" i="10"/>
  <c r="AG19" i="10" s="1"/>
  <c r="E100" i="10"/>
  <c r="Y19" i="10" s="1"/>
  <c r="N99" i="10"/>
  <c r="E99" i="10"/>
  <c r="N98" i="10"/>
  <c r="AE19" i="10" s="1"/>
  <c r="E98" i="10"/>
  <c r="W19" i="10" s="1"/>
  <c r="N97" i="10"/>
  <c r="E97" i="10"/>
  <c r="N89" i="10"/>
  <c r="AH18" i="10" s="1"/>
  <c r="E89" i="10"/>
  <c r="Z18" i="10" s="1"/>
  <c r="N88" i="10"/>
  <c r="AG18" i="10" s="1"/>
  <c r="E88" i="10"/>
  <c r="N87" i="10"/>
  <c r="AF18" i="10" s="1"/>
  <c r="E87" i="10"/>
  <c r="N86" i="10"/>
  <c r="AE18" i="10" s="1"/>
  <c r="E86" i="10"/>
  <c r="N85" i="10"/>
  <c r="E85" i="10"/>
  <c r="N77" i="10"/>
  <c r="AH17" i="10" s="1"/>
  <c r="E77" i="10"/>
  <c r="Z17" i="10" s="1"/>
  <c r="E76" i="10"/>
  <c r="N75" i="10"/>
  <c r="E75" i="10"/>
  <c r="N74" i="10"/>
  <c r="E74" i="10"/>
  <c r="N73" i="10"/>
  <c r="E73" i="10"/>
  <c r="N65" i="10"/>
  <c r="E65" i="10"/>
  <c r="Z16" i="10" s="1"/>
  <c r="N64" i="10"/>
  <c r="E64" i="10"/>
  <c r="N63" i="10"/>
  <c r="E63" i="10"/>
  <c r="N62" i="10"/>
  <c r="E62" i="10"/>
  <c r="N61" i="10"/>
  <c r="N53" i="10"/>
  <c r="AH15" i="10" s="1"/>
  <c r="E53" i="10"/>
  <c r="N52" i="10"/>
  <c r="E52" i="10"/>
  <c r="N51" i="10"/>
  <c r="E51" i="10"/>
  <c r="N50" i="10"/>
  <c r="E50" i="10"/>
  <c r="N38" i="10"/>
  <c r="N39" i="10"/>
  <c r="N40" i="10"/>
  <c r="N41" i="10"/>
  <c r="AH14" i="10" s="1"/>
  <c r="N37" i="10"/>
  <c r="E38" i="10"/>
  <c r="E39" i="10"/>
  <c r="E40" i="10"/>
  <c r="E41" i="10"/>
  <c r="Z14" i="10" s="1"/>
  <c r="F147" i="19" l="1"/>
  <c r="E147" i="19"/>
  <c r="O147" i="19" s="1"/>
  <c r="F146" i="19"/>
  <c r="F144" i="19"/>
  <c r="AF19" i="10"/>
  <c r="AG20" i="10"/>
  <c r="W20" i="10"/>
  <c r="E145" i="19"/>
  <c r="O145" i="19" s="1"/>
  <c r="T14" i="19"/>
  <c r="F144" i="10"/>
  <c r="F147" i="10"/>
  <c r="F146" i="10"/>
  <c r="X19" i="19"/>
  <c r="AG19" i="19"/>
  <c r="Y20" i="19"/>
  <c r="W19" i="19"/>
  <c r="F142" i="19"/>
  <c r="E146" i="19"/>
  <c r="O146" i="19" s="1"/>
  <c r="E143" i="19"/>
  <c r="O143" i="19" s="1"/>
  <c r="F145" i="19"/>
  <c r="F140" i="19"/>
  <c r="E144" i="19"/>
  <c r="E141" i="19"/>
  <c r="O141" i="19" s="1"/>
  <c r="E147" i="10"/>
  <c r="E143" i="10"/>
  <c r="E142" i="10"/>
  <c r="E145" i="10"/>
  <c r="F21" i="9" s="1"/>
  <c r="K21" i="9" s="1"/>
  <c r="F141" i="10"/>
  <c r="E141" i="10"/>
  <c r="E144" i="10"/>
  <c r="F140" i="10"/>
  <c r="F141" i="19"/>
  <c r="E140" i="19"/>
  <c r="O140" i="19" s="1"/>
  <c r="H147" i="19"/>
  <c r="N147" i="19" s="1"/>
  <c r="H140" i="19"/>
  <c r="N140" i="19" s="1"/>
  <c r="F143" i="10"/>
  <c r="E146" i="10"/>
  <c r="F145" i="10"/>
  <c r="H144" i="19"/>
  <c r="H141" i="19"/>
  <c r="F143" i="19"/>
  <c r="H145" i="19"/>
  <c r="H142" i="19"/>
  <c r="H146" i="19"/>
  <c r="E142" i="19"/>
  <c r="H143" i="19"/>
  <c r="V79" i="10"/>
  <c r="X17" i="19"/>
  <c r="AG17" i="19"/>
  <c r="X21" i="19"/>
  <c r="AG21" i="19"/>
  <c r="AF20" i="19"/>
  <c r="AE15" i="19"/>
  <c r="W16" i="19"/>
  <c r="Y18" i="19"/>
  <c r="AN20" i="19"/>
  <c r="L34" i="19"/>
  <c r="S34" i="19" s="1"/>
  <c r="R37" i="19" s="1"/>
  <c r="AN14" i="19"/>
  <c r="W14" i="19" s="1"/>
  <c r="Y15" i="19"/>
  <c r="W17" i="19"/>
  <c r="AN15" i="19"/>
  <c r="AN17" i="19"/>
  <c r="L82" i="19"/>
  <c r="S82" i="19" s="1"/>
  <c r="H85" i="19" s="1"/>
  <c r="AN18" i="19"/>
  <c r="Y16" i="19"/>
  <c r="AF18" i="19"/>
  <c r="AE21" i="19"/>
  <c r="AN19" i="19"/>
  <c r="AN21" i="19"/>
  <c r="P14" i="19"/>
  <c r="AE19" i="19"/>
  <c r="W20" i="19"/>
  <c r="H14" i="19"/>
  <c r="V14" i="19"/>
  <c r="AF15" i="19"/>
  <c r="X16" i="19"/>
  <c r="AE18" i="19"/>
  <c r="AF19" i="19"/>
  <c r="AG20" i="19"/>
  <c r="AN16" i="19"/>
  <c r="P21" i="19"/>
  <c r="AD21" i="19"/>
  <c r="V122" i="19"/>
  <c r="W21" i="19"/>
  <c r="H21" i="19"/>
  <c r="V21" i="19"/>
  <c r="P20" i="19"/>
  <c r="AD20" i="19"/>
  <c r="H20" i="19"/>
  <c r="V20" i="19"/>
  <c r="AD19" i="19"/>
  <c r="P19" i="19"/>
  <c r="V19" i="19"/>
  <c r="H19" i="19"/>
  <c r="AD18" i="19"/>
  <c r="P18" i="19"/>
  <c r="H18" i="19"/>
  <c r="V18" i="19"/>
  <c r="P17" i="19"/>
  <c r="AD17" i="19"/>
  <c r="H17" i="19"/>
  <c r="V17" i="19"/>
  <c r="V16" i="19"/>
  <c r="H16" i="19"/>
  <c r="P16" i="19"/>
  <c r="AD16" i="19"/>
  <c r="T16" i="19" s="1"/>
  <c r="AD15" i="19"/>
  <c r="P15" i="19"/>
  <c r="H15" i="19"/>
  <c r="V15" i="19"/>
  <c r="V123" i="19"/>
  <c r="V127" i="19"/>
  <c r="H147" i="10"/>
  <c r="H143" i="10"/>
  <c r="H140" i="10"/>
  <c r="H146" i="10"/>
  <c r="X20" i="10"/>
  <c r="H144" i="10"/>
  <c r="H142" i="10"/>
  <c r="H145" i="10"/>
  <c r="H141" i="10"/>
  <c r="F142" i="10"/>
  <c r="E140" i="10"/>
  <c r="X19" i="10"/>
  <c r="Y18" i="10"/>
  <c r="H19" i="10"/>
  <c r="V19" i="10"/>
  <c r="H21" i="10"/>
  <c r="V21" i="10"/>
  <c r="P19" i="10"/>
  <c r="AD19" i="10"/>
  <c r="P21" i="10"/>
  <c r="AD21" i="10"/>
  <c r="H14" i="10"/>
  <c r="V102" i="10"/>
  <c r="AA19" i="10"/>
  <c r="AD18" i="10"/>
  <c r="P18" i="10"/>
  <c r="AD20" i="10"/>
  <c r="P20" i="10"/>
  <c r="V18" i="10"/>
  <c r="H18" i="10"/>
  <c r="X18" i="10"/>
  <c r="V20" i="10"/>
  <c r="H20" i="10"/>
  <c r="V114" i="10"/>
  <c r="P17" i="10"/>
  <c r="H17" i="10"/>
  <c r="W17" i="10"/>
  <c r="P16" i="10"/>
  <c r="H16" i="10"/>
  <c r="P15" i="10"/>
  <c r="H15" i="10"/>
  <c r="P14" i="10"/>
  <c r="AN19" i="10"/>
  <c r="V38" i="10"/>
  <c r="V98" i="10"/>
  <c r="V111" i="10"/>
  <c r="V123" i="10"/>
  <c r="Y17" i="10"/>
  <c r="V61" i="10"/>
  <c r="V17" i="10"/>
  <c r="X17" i="10"/>
  <c r="V16" i="10"/>
  <c r="V15" i="10"/>
  <c r="V43" i="10"/>
  <c r="V67" i="10"/>
  <c r="AD15" i="10"/>
  <c r="V73" i="10"/>
  <c r="AD17" i="10"/>
  <c r="AF15" i="10"/>
  <c r="V76" i="10"/>
  <c r="AN20" i="10"/>
  <c r="AG17" i="10"/>
  <c r="L82" i="10"/>
  <c r="S82" i="10" s="1"/>
  <c r="V37" i="10"/>
  <c r="V122" i="10"/>
  <c r="V63" i="10"/>
  <c r="L106" i="10"/>
  <c r="S106" i="10" s="1"/>
  <c r="V42" i="10"/>
  <c r="AE15" i="10"/>
  <c r="AG15" i="10"/>
  <c r="AN18" i="10"/>
  <c r="W18" i="10" s="1"/>
  <c r="L94" i="10"/>
  <c r="S94" i="10" s="1"/>
  <c r="L118" i="10"/>
  <c r="S118" i="10" s="1"/>
  <c r="C118" i="10"/>
  <c r="H118" i="10" s="1"/>
  <c r="C34" i="10"/>
  <c r="H34" i="10" s="1"/>
  <c r="R37" i="10" s="1"/>
  <c r="C82" i="10"/>
  <c r="H82" i="10" s="1"/>
  <c r="AN21" i="10"/>
  <c r="C46" i="10"/>
  <c r="H46" i="10" s="1"/>
  <c r="H49" i="10" s="1"/>
  <c r="C94" i="10"/>
  <c r="H94" i="10" s="1"/>
  <c r="C58" i="10"/>
  <c r="H58" i="10" s="1"/>
  <c r="H61" i="10" s="1"/>
  <c r="C106" i="10"/>
  <c r="H106" i="10" s="1"/>
  <c r="V126" i="19"/>
  <c r="V125" i="19"/>
  <c r="V101" i="19"/>
  <c r="V99" i="19"/>
  <c r="V103" i="19"/>
  <c r="V124" i="19"/>
  <c r="V53" i="19"/>
  <c r="V65" i="19"/>
  <c r="V75" i="19"/>
  <c r="V63" i="19"/>
  <c r="V67" i="19"/>
  <c r="V77" i="19"/>
  <c r="V111" i="19"/>
  <c r="V115" i="19"/>
  <c r="V89" i="19"/>
  <c r="V40" i="19"/>
  <c r="V62" i="19"/>
  <c r="V66" i="19"/>
  <c r="V76" i="19"/>
  <c r="V88" i="19"/>
  <c r="V97" i="19"/>
  <c r="V98" i="19"/>
  <c r="V133" i="19"/>
  <c r="V79" i="19"/>
  <c r="V38" i="19"/>
  <c r="V42" i="19"/>
  <c r="V52" i="19"/>
  <c r="V74" i="19"/>
  <c r="V78" i="19"/>
  <c r="V100" i="19"/>
  <c r="V112" i="19"/>
  <c r="V121" i="19"/>
  <c r="V135" i="19"/>
  <c r="AN15" i="10"/>
  <c r="H73" i="19"/>
  <c r="S58" i="19"/>
  <c r="H61" i="19" s="1"/>
  <c r="V49" i="10"/>
  <c r="V40" i="10"/>
  <c r="V86" i="10"/>
  <c r="V101" i="10"/>
  <c r="W14" i="10"/>
  <c r="V51" i="10"/>
  <c r="V125" i="10"/>
  <c r="AN17" i="10"/>
  <c r="V110" i="10"/>
  <c r="V112" i="10"/>
  <c r="AF16" i="10"/>
  <c r="AN14" i="10"/>
  <c r="V75" i="10"/>
  <c r="V109" i="10"/>
  <c r="V66" i="10"/>
  <c r="AF17" i="10"/>
  <c r="V90" i="10"/>
  <c r="Y15" i="10"/>
  <c r="V14" i="10"/>
  <c r="Y14" i="10"/>
  <c r="AN16" i="10"/>
  <c r="V41" i="10"/>
  <c r="X15" i="10"/>
  <c r="V88" i="10"/>
  <c r="V77" i="10"/>
  <c r="V89" i="10"/>
  <c r="V78" i="10"/>
  <c r="V136" i="10"/>
  <c r="V54" i="10"/>
  <c r="AG14" i="10"/>
  <c r="AI16" i="10"/>
  <c r="V135" i="10"/>
  <c r="H73" i="10"/>
  <c r="R73" i="10"/>
  <c r="AE16" i="10"/>
  <c r="X14" i="10"/>
  <c r="X16" i="10"/>
  <c r="V52" i="10"/>
  <c r="AH16" i="10"/>
  <c r="V65" i="10"/>
  <c r="V87" i="10"/>
  <c r="V97" i="10"/>
  <c r="V99" i="10"/>
  <c r="V113" i="10"/>
  <c r="V121" i="10"/>
  <c r="AE14" i="10"/>
  <c r="AD14" i="10"/>
  <c r="AG16" i="10"/>
  <c r="AD16" i="10"/>
  <c r="AB17" i="10"/>
  <c r="V127" i="10"/>
  <c r="V137" i="10"/>
  <c r="W15" i="10"/>
  <c r="V50" i="10"/>
  <c r="V64" i="10"/>
  <c r="Y16" i="10"/>
  <c r="AE17" i="10"/>
  <c r="V74" i="10"/>
  <c r="AF14" i="10"/>
  <c r="V55" i="10"/>
  <c r="AB15" i="10"/>
  <c r="V126" i="10"/>
  <c r="V39" i="10"/>
  <c r="V115" i="10"/>
  <c r="Z15" i="10"/>
  <c r="V53" i="10"/>
  <c r="V62" i="10"/>
  <c r="W16" i="10"/>
  <c r="V85" i="10"/>
  <c r="AA14" i="10"/>
  <c r="V103" i="10"/>
  <c r="V133" i="10"/>
  <c r="V100" i="10"/>
  <c r="V124" i="10"/>
  <c r="V91" i="10"/>
  <c r="R73" i="19"/>
  <c r="V41" i="19"/>
  <c r="V49" i="19"/>
  <c r="V50" i="19"/>
  <c r="V51" i="19"/>
  <c r="V54" i="19"/>
  <c r="V55" i="19"/>
  <c r="V86" i="19"/>
  <c r="V90" i="19"/>
  <c r="H118" i="19"/>
  <c r="H121" i="19" s="1"/>
  <c r="H94" i="19"/>
  <c r="H97" i="19" s="1"/>
  <c r="V113" i="19"/>
  <c r="H106" i="19"/>
  <c r="H109" i="19" s="1"/>
  <c r="H46" i="19"/>
  <c r="H49" i="19" s="1"/>
  <c r="V39" i="19"/>
  <c r="V43" i="19"/>
  <c r="V102" i="19"/>
  <c r="V73" i="19"/>
  <c r="V109" i="19"/>
  <c r="V132" i="19"/>
  <c r="V37" i="19"/>
  <c r="V61" i="19"/>
  <c r="V64" i="19"/>
  <c r="V85" i="19"/>
  <c r="V87" i="19"/>
  <c r="V91" i="19"/>
  <c r="V110" i="19"/>
  <c r="V114" i="19"/>
  <c r="K147" i="19" l="1"/>
  <c r="F12" i="9"/>
  <c r="K12" i="9" s="1"/>
  <c r="K145" i="19"/>
  <c r="K144" i="19"/>
  <c r="E22" i="9"/>
  <c r="J22" i="9" s="1"/>
  <c r="O145" i="10"/>
  <c r="R14" i="19"/>
  <c r="F14" i="9"/>
  <c r="K14" i="9" s="1"/>
  <c r="E12" i="9"/>
  <c r="J12" i="9" s="1"/>
  <c r="K146" i="19"/>
  <c r="F11" i="9"/>
  <c r="K11" i="9" s="1"/>
  <c r="F13" i="9"/>
  <c r="K13" i="9" s="1"/>
  <c r="K143" i="19"/>
  <c r="T17" i="19"/>
  <c r="O144" i="19"/>
  <c r="R18" i="19"/>
  <c r="R19" i="19"/>
  <c r="T21" i="19"/>
  <c r="E11" i="9"/>
  <c r="F23" i="9"/>
  <c r="K23" i="9" s="1"/>
  <c r="E14" i="9"/>
  <c r="J14" i="9" s="1"/>
  <c r="K141" i="19"/>
  <c r="E23" i="9"/>
  <c r="J23" i="9" s="1"/>
  <c r="F22" i="9"/>
  <c r="K22" i="9" s="1"/>
  <c r="E21" i="9"/>
  <c r="E13" i="9"/>
  <c r="K140" i="19"/>
  <c r="E20" i="9"/>
  <c r="J20" i="9" s="1"/>
  <c r="F20" i="9"/>
  <c r="K20" i="9" s="1"/>
  <c r="H24" i="9"/>
  <c r="D24" i="9"/>
  <c r="I24" i="9"/>
  <c r="I15" i="9"/>
  <c r="T20" i="19"/>
  <c r="H15" i="9"/>
  <c r="K142" i="19"/>
  <c r="O142" i="19"/>
  <c r="N146" i="19"/>
  <c r="D15" i="9"/>
  <c r="N142" i="19"/>
  <c r="N145" i="19"/>
  <c r="N143" i="19"/>
  <c r="N141" i="19"/>
  <c r="N144" i="19"/>
  <c r="J141" i="19"/>
  <c r="H37" i="19"/>
  <c r="J140" i="19" s="1"/>
  <c r="J143" i="19"/>
  <c r="J142" i="19"/>
  <c r="T15" i="19"/>
  <c r="R20" i="19"/>
  <c r="AO20" i="19" s="1"/>
  <c r="R16" i="19"/>
  <c r="AO16" i="19" s="1"/>
  <c r="R21" i="19"/>
  <c r="T19" i="19"/>
  <c r="T18" i="19"/>
  <c r="R17" i="19"/>
  <c r="AA36" i="10"/>
  <c r="R17" i="10"/>
  <c r="R61" i="19"/>
  <c r="T18" i="10"/>
  <c r="K141" i="10"/>
  <c r="R49" i="10"/>
  <c r="K146" i="10"/>
  <c r="R20" i="10"/>
  <c r="R14" i="10"/>
  <c r="O143" i="10"/>
  <c r="T20" i="10"/>
  <c r="R16" i="10"/>
  <c r="H85" i="10"/>
  <c r="R121" i="10"/>
  <c r="T15" i="10"/>
  <c r="O146" i="10"/>
  <c r="K145" i="10"/>
  <c r="K142" i="10"/>
  <c r="K143" i="10"/>
  <c r="R19" i="10"/>
  <c r="T17" i="10"/>
  <c r="R15" i="10"/>
  <c r="T14" i="10"/>
  <c r="T21" i="10"/>
  <c r="T19" i="10"/>
  <c r="H97" i="10"/>
  <c r="J141" i="10" s="1"/>
  <c r="R21" i="10"/>
  <c r="T16" i="10"/>
  <c r="O141" i="10"/>
  <c r="R97" i="10"/>
  <c r="J145" i="10" s="1"/>
  <c r="R109" i="10"/>
  <c r="J146" i="10" s="1"/>
  <c r="H109" i="10"/>
  <c r="J142" i="10" s="1"/>
  <c r="H121" i="10"/>
  <c r="R61" i="10"/>
  <c r="H37" i="10"/>
  <c r="R121" i="19"/>
  <c r="J147" i="19" s="1"/>
  <c r="R97" i="19"/>
  <c r="R85" i="19"/>
  <c r="J144" i="19" s="1"/>
  <c r="K147" i="10"/>
  <c r="R85" i="10"/>
  <c r="O147" i="10"/>
  <c r="N140" i="10"/>
  <c r="O140" i="10"/>
  <c r="K140" i="10"/>
  <c r="O142" i="10"/>
  <c r="N141" i="10"/>
  <c r="N145" i="10"/>
  <c r="N144" i="10"/>
  <c r="N143" i="10"/>
  <c r="K144" i="10"/>
  <c r="O144" i="10"/>
  <c r="N147" i="10"/>
  <c r="N146" i="10"/>
  <c r="N142" i="10"/>
  <c r="R109" i="19"/>
  <c r="R49" i="19"/>
  <c r="AO17" i="19" l="1"/>
  <c r="AO19" i="19"/>
  <c r="AO18" i="19"/>
  <c r="AO21" i="19"/>
  <c r="J11" i="9"/>
  <c r="T22" i="19"/>
  <c r="J21" i="9"/>
  <c r="J13" i="9"/>
  <c r="T22" i="10"/>
  <c r="G12" i="9"/>
  <c r="G22" i="9"/>
  <c r="G13" i="9"/>
  <c r="G21" i="9"/>
  <c r="AO21" i="10"/>
  <c r="F24" i="9"/>
  <c r="K24" i="9" s="1"/>
  <c r="F15" i="9"/>
  <c r="K15" i="9" s="1"/>
  <c r="J145" i="19"/>
  <c r="E15" i="9"/>
  <c r="J146" i="19"/>
  <c r="J140" i="10"/>
  <c r="J144" i="10"/>
  <c r="J147" i="10"/>
  <c r="AO17" i="10"/>
  <c r="J143" i="10"/>
  <c r="AO19" i="10"/>
  <c r="AO16" i="10"/>
  <c r="AO20" i="10"/>
  <c r="AO14" i="10"/>
  <c r="AO15" i="10"/>
  <c r="J15" i="9" l="1"/>
  <c r="G11" i="9"/>
  <c r="G20" i="9"/>
  <c r="G14" i="9"/>
  <c r="G23" i="9"/>
  <c r="E24" i="9"/>
  <c r="R18" i="10"/>
  <c r="AO18" i="10" l="1"/>
  <c r="AO23" i="10" s="1"/>
  <c r="R22" i="10"/>
  <c r="J24" i="9"/>
  <c r="G15" i="9"/>
  <c r="G24" i="9"/>
  <c r="R15" i="19"/>
  <c r="AO15" i="19" s="1"/>
  <c r="AO14" i="19" l="1"/>
  <c r="AO23" i="19" s="1"/>
  <c r="R22" i="19"/>
  <c r="G26" i="9"/>
  <c r="H26" i="9" s="1"/>
  <c r="V22" i="10" l="1"/>
  <c r="W22" i="10"/>
  <c r="B23" i="10" l="1"/>
  <c r="B28" i="9"/>
  <c r="V22" i="19"/>
  <c r="X22" i="19" l="1"/>
  <c r="B29" i="9" s="1"/>
  <c r="B23" i="19" l="1"/>
</calcChain>
</file>

<file path=xl/sharedStrings.xml><?xml version="1.0" encoding="utf-8"?>
<sst xmlns="http://schemas.openxmlformats.org/spreadsheetml/2006/main" count="483" uniqueCount="105">
  <si>
    <t>Nimi:</t>
  </si>
  <si>
    <t>erä</t>
  </si>
  <si>
    <t>Tiedot antoi:</t>
  </si>
  <si>
    <t>Tulos</t>
  </si>
  <si>
    <t>x</t>
  </si>
  <si>
    <t>-</t>
  </si>
  <si>
    <t>(</t>
  </si>
  <si>
    <t>)</t>
  </si>
  <si>
    <t>Mestaruus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</si>
  <si>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</si>
  <si>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</si>
  <si>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</si>
  <si>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</si>
  <si>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</si>
  <si>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</si>
  <si>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</si>
  <si>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</si>
  <si>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</si>
  <si>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</si>
  <si>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</si>
  <si>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</si>
  <si>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</si>
  <si>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</si>
  <si>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</si>
  <si>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</si>
  <si>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</si>
  <si>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SUOMEN DARTSLIITTO</t>
  </si>
  <si>
    <t xml:space="preserve">      SUOMEN DARTSLIITTO</t>
  </si>
  <si>
    <t xml:space="preserve">Pelipaikka: 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</si>
  <si>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</si>
  <si>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</si>
  <si>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</si>
  <si>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</si>
  <si>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</si>
  <si>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</si>
  <si>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</si>
  <si>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L</t>
  </si>
  <si>
    <t>Puhelin:</t>
  </si>
  <si>
    <t>Kotijoukkue</t>
  </si>
  <si>
    <t>Ottelun kulku</t>
  </si>
  <si>
    <t>Syötä tilasto-välilehdellä sijaitsevaan pöytäkirjaan seuraavat tiedot: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</si>
  <si>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</si>
  <si>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</si>
  <si>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</si>
  <si>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</si>
  <si>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</si>
  <si>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</si>
  <si>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</si>
  <si>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</si>
  <si>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</si>
  <si>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</si>
  <si>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</si>
  <si>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</si>
  <si>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</si>
  <si>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</si>
  <si>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</si>
  <si>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</si>
  <si>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KA</t>
  </si>
  <si>
    <t xml:space="preserve">Yhteensä: </t>
  </si>
  <si>
    <t xml:space="preserve">Tons = 100 ja yli tulokset sekä poikkaisut.
MAX = 170-180 tulokset ja poikkaisu(muista merkitä myös lisäksi tons eli 1+1)    </t>
  </si>
  <si>
    <t xml:space="preserve">Kierros: </t>
  </si>
  <si>
    <t>Tarkista ennen lähettämistä tilasto-sivulta, että voitettuja pelejä on yhteensä 16</t>
  </si>
  <si>
    <t xml:space="preserve">Pvm: </t>
  </si>
  <si>
    <t>Kotijoukkue + joukkueen nro</t>
  </si>
  <si>
    <t>Vierasjoukkue + joukkueen nro</t>
  </si>
  <si>
    <t>Vierasjoukkue</t>
  </si>
  <si>
    <t xml:space="preserve">Tonsipoksit (Vain poikkaisut) </t>
  </si>
  <si>
    <t>SM-LIIGA OTTELUPÖYTÄKIRJA</t>
  </si>
  <si>
    <t>Lähetä tarkistettu pöytäkirja välittömästi pelien jälkeen liigasihteeri.sdl@gmail.com</t>
  </si>
  <si>
    <t>Nimi</t>
  </si>
  <si>
    <t>LOPPUTULOS:</t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</si>
  <si>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</si>
  <si>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mamapa</t>
  </si>
  <si>
    <t>Tarkista ennen lähettämistä, että voitettuja pelejä on yhteensä 16</t>
  </si>
  <si>
    <t>Tulosten käsittelyn nopeuttamiseksi voit halutessasi laittaa pelien lopputulokset 
sähköpostin viestiksi</t>
  </si>
  <si>
    <r>
      <t xml:space="preserve">Pelien loputtua tarkista tilasto dokumentti. Voitettuja pelejä tulee olla yhteensä 16 . Jos huomaat virheitä, voit käydä korjaamassa niitä pöytäkirjoissa. Tilasto päivittyy automaattisesti keskiarvojen yms. osalta.
</t>
    </r>
    <r>
      <rPr>
        <b/>
        <sz val="14"/>
        <color indexed="30"/>
        <rFont val="Arial"/>
        <family val="2"/>
      </rPr>
      <t/>
    </r>
  </si>
  <si>
    <t>Miehet mestaruussarja 2021-2022</t>
  </si>
  <si>
    <t xml:space="preserve">Miehet mestaruussarja 2021-2022   Kierros </t>
  </si>
  <si>
    <r>
      <t xml:space="preserve">
Tons = 100 ja yli tulokset sekä poikkaisut.
MAX = 170-180 tulokset ja poikkaisu(muista merkitä myös lisäksi tons eli 1+1)  
</t>
    </r>
    <r>
      <rPr>
        <b/>
        <sz val="12"/>
        <color rgb="FFFF0000"/>
        <rFont val="Arial"/>
        <family val="2"/>
      </rPr>
      <t>Erän voittajan jäi sarake jätetään tyhjäksi, älä merkitse nollaa</t>
    </r>
  </si>
  <si>
    <t xml:space="preserve">- Kierros
- Pelipaikka
- Aika: päivämäärä, kuukausi ja vuosi
- Pelaajien nimet (samat kuin lisenssissä), sukunimi ensin
</t>
  </si>
  <si>
    <t xml:space="preserve">Pelijärjestys: </t>
  </si>
  <si>
    <t xml:space="preserve">Merkitse x sen pelaajan kohdalle kenet haluat vaihtaa </t>
  </si>
  <si>
    <t>Kapt.</t>
  </si>
  <si>
    <t>Pelaajien nimet syötetään ensimmäisen pelin heittojärjestyksessä ja ne siirtyvät automaattisesti ottelupöytäkirjaan</t>
  </si>
  <si>
    <t>=co</t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</si>
  <si>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</si>
  <si>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ensin+ Etunimi)</t>
    </r>
  </si>
  <si>
    <r>
      <rPr>
        <b/>
        <sz val="12"/>
        <color indexed="30"/>
        <rFont val="Arial"/>
        <family val="2"/>
      </rPr>
      <t xml:space="preserve">Tallenna pöytäkirja mallin mukaisella nimellä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MM Knro Kotijoukkue Vierasjoukkue
Esim.
MM K2 Samuli Blues 1 Päkki Darts 1</t>
    </r>
  </si>
  <si>
    <r>
      <t xml:space="preserve">Jokaiselle ottelulle on oma taulukkonsa, johon syötetään käytetty tikkamäärä, 
paljonko jäi </t>
    </r>
    <r>
      <rPr>
        <b/>
        <sz val="12"/>
        <color indexed="10"/>
        <rFont val="Arial"/>
        <family val="2"/>
      </rPr>
      <t>(nollaa ei merkitä)</t>
    </r>
    <r>
      <rPr>
        <sz val="12"/>
        <rFont val="Arial"/>
        <family val="2"/>
      </rPr>
      <t xml:space="preserve">, lisäksi tonsit ja maksimit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</si>
  <si>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välittömästi pelien jälkeen liigasihteeri.sdl@gmail.com
Nimeä sähköposti samalla tavalla kuin ottelupöytäkirja (ohje yllä)</t>
    </r>
    <r>
      <rPr>
        <sz val="12"/>
        <rFont val="Arial"/>
        <family val="2"/>
      </rPr>
      <t xml:space="preserve">
</t>
    </r>
  </si>
  <si>
    <t>Miehet mestaruussarja 2021-2022 Kierros:</t>
  </si>
  <si>
    <t>Pub Grönan, Hanko</t>
  </si>
  <si>
    <t>Grönan DC 1</t>
  </si>
  <si>
    <t>Keski-Suomi Darts 1</t>
  </si>
  <si>
    <t>Högström Sami</t>
  </si>
  <si>
    <t>Ek Matti</t>
  </si>
  <si>
    <t>Kinnunen Tomi</t>
  </si>
  <si>
    <t>Selenius Peter</t>
  </si>
  <si>
    <t>Jarno Aho</t>
  </si>
  <si>
    <t>0407052152</t>
  </si>
  <si>
    <t>Takkinen Uki</t>
  </si>
  <si>
    <t>Finnilä Pauli</t>
  </si>
  <si>
    <t>Viinikka Veijo</t>
  </si>
  <si>
    <t>Hyttinen Pasi</t>
  </si>
  <si>
    <t>116, 107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</si>
</sst>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75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b/>
      <sz val="14"/>
      <color indexed="30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7030A0"/>
      <name val="Arial"/>
      <family val="2"/>
    </font>
    <font>
      <sz val="10"/>
      <color rgb="FF7030A0"/>
      <name val="Arial"/>
      <family val="2"/>
    </font>
    <font>
      <b/>
      <sz val="14"/>
      <color rgb="FF7030A0"/>
      <name val="Arial"/>
      <family val="2"/>
    </font>
    <font>
      <b/>
      <sz val="16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sz val="10"/>
      <color theme="9" tint="-0.249977111117893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 Black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0"/>
      <name val="Arial"/>
      <family val="2"/>
    </font>
    <font>
      <u/>
      <sz val="7"/>
      <color indexed="12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1"/>
      <color rgb="FF7030A0"/>
      <name val="Arial"/>
      <family val="2"/>
    </font>
    <font>
      <b/>
      <sz val="34"/>
      <color theme="0"/>
      <name val="Arial Black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2"/>
      <color indexed="30"/>
      <name val="Arial"/>
      <family val="2"/>
    </font>
    <font>
      <b/>
      <sz val="12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65" fillId="0" borderId="0" applyNumberFormat="0" applyFill="0" applyBorder="0" applyAlignment="0" applyProtection="0"/>
    <xf numFmtId="0" fontId="8" fillId="0" borderId="0"/>
  </cellStyleXfs>
  <cellXfs count="457">
    <xf numFmtId="0" fontId="0" fillId="0" borderId="0" xfId="0"/>
    <xf numFmtId="0" fontId="3" fillId="0" borderId="0" xfId="2" applyFont="1" applyProtection="1"/>
    <xf numFmtId="0" fontId="3" fillId="0" borderId="0" xfId="2" applyFont="1" applyBorder="1" applyProtection="1"/>
    <xf numFmtId="0" fontId="5" fillId="0" borderId="0" xfId="2" applyFont="1" applyBorder="1" applyAlignment="1" applyProtection="1">
      <alignment horizontal="center"/>
    </xf>
    <xf numFmtId="0" fontId="25" fillId="3" borderId="0" xfId="2" applyFont="1" applyFill="1" applyProtection="1"/>
    <xf numFmtId="0" fontId="25" fillId="3" borderId="0" xfId="2" applyFont="1" applyFill="1" applyBorder="1" applyProtection="1"/>
    <xf numFmtId="0" fontId="3" fillId="3" borderId="2" xfId="2" applyFont="1" applyFill="1" applyBorder="1" applyAlignment="1" applyProtection="1">
      <alignment horizontal="center" vertical="center"/>
      <protection locked="0"/>
    </xf>
    <xf numFmtId="1" fontId="3" fillId="3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49" fontId="28" fillId="2" borderId="0" xfId="1" applyNumberFormat="1" applyFont="1" applyFill="1" applyBorder="1" applyAlignment="1" applyProtection="1">
      <alignment horizontal="center" vertical="center"/>
    </xf>
    <xf numFmtId="49" fontId="25" fillId="3" borderId="0" xfId="2" applyNumberFormat="1" applyFont="1" applyFill="1" applyBorder="1" applyProtection="1"/>
    <xf numFmtId="49" fontId="14" fillId="0" borderId="0" xfId="2" applyNumberFormat="1" applyFont="1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</xf>
    <xf numFmtId="0" fontId="3" fillId="3" borderId="0" xfId="2" applyFont="1" applyFill="1" applyBorder="1" applyProtection="1"/>
    <xf numFmtId="0" fontId="7" fillId="3" borderId="0" xfId="2" applyFont="1" applyFill="1" applyBorder="1" applyAlignment="1" applyProtection="1">
      <alignment horizontal="center" textRotation="90"/>
    </xf>
    <xf numFmtId="49" fontId="1" fillId="0" borderId="0" xfId="0" applyNumberFormat="1" applyFont="1" applyFill="1" applyBorder="1" applyAlignment="1" applyProtection="1">
      <alignment horizontal="left"/>
    </xf>
    <xf numFmtId="0" fontId="29" fillId="0" borderId="0" xfId="2" applyFont="1" applyProtection="1"/>
    <xf numFmtId="0" fontId="30" fillId="0" borderId="0" xfId="2" applyFont="1" applyProtection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2" fillId="0" borderId="0" xfId="2" applyNumberFormat="1" applyFont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1" fontId="7" fillId="3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/>
    </xf>
    <xf numFmtId="16" fontId="4" fillId="0" borderId="0" xfId="2" quotePrefix="1" applyNumberFormat="1" applyFont="1" applyBorder="1" applyAlignment="1" applyProtection="1">
      <alignment horizontal="center"/>
    </xf>
    <xf numFmtId="49" fontId="7" fillId="0" borderId="0" xfId="2" applyNumberFormat="1" applyFont="1" applyBorder="1" applyProtection="1"/>
    <xf numFmtId="0" fontId="7" fillId="0" borderId="0" xfId="2" applyFont="1" applyBorder="1" applyProtection="1"/>
    <xf numFmtId="49" fontId="7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Protection="1"/>
    <xf numFmtId="49" fontId="5" fillId="0" borderId="0" xfId="2" applyNumberFormat="1" applyFont="1" applyBorder="1" applyProtection="1"/>
    <xf numFmtId="0" fontId="5" fillId="0" borderId="0" xfId="2" applyFont="1" applyBorder="1" applyProtection="1"/>
    <xf numFmtId="0" fontId="5" fillId="0" borderId="0" xfId="2" applyFont="1" applyBorder="1" applyAlignment="1" applyProtection="1">
      <alignment horizontal="left"/>
    </xf>
    <xf numFmtId="0" fontId="26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0" fontId="4" fillId="0" borderId="0" xfId="2" applyFont="1" applyBorder="1" applyProtection="1"/>
    <xf numFmtId="49" fontId="3" fillId="0" borderId="0" xfId="2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center" wrapText="1" indent="2" shrinkToFi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2" applyNumberFormat="1" applyFont="1" applyBorder="1" applyAlignment="1" applyProtection="1">
      <alignment horizontal="left"/>
    </xf>
    <xf numFmtId="0" fontId="31" fillId="0" borderId="0" xfId="2" applyFont="1" applyBorder="1" applyAlignment="1" applyProtection="1">
      <alignment horizontal="left"/>
    </xf>
    <xf numFmtId="0" fontId="25" fillId="3" borderId="0" xfId="2" applyFont="1" applyFill="1" applyBorder="1" applyAlignment="1" applyProtection="1">
      <alignment horizontal="center"/>
    </xf>
    <xf numFmtId="0" fontId="33" fillId="0" borderId="1" xfId="2" applyNumberFormat="1" applyFont="1" applyBorder="1" applyAlignment="1" applyProtection="1"/>
    <xf numFmtId="49" fontId="34" fillId="0" borderId="0" xfId="2" applyNumberFormat="1" applyFont="1" applyBorder="1" applyAlignment="1" applyProtection="1">
      <alignment horizontal="center" vertical="center"/>
    </xf>
    <xf numFmtId="49" fontId="34" fillId="0" borderId="0" xfId="2" applyNumberFormat="1" applyFont="1" applyBorder="1" applyAlignment="1" applyProtection="1">
      <alignment horizontal="left"/>
    </xf>
    <xf numFmtId="49" fontId="36" fillId="0" borderId="0" xfId="2" applyNumberFormat="1" applyFont="1" applyBorder="1" applyAlignment="1" applyProtection="1">
      <alignment horizontal="center"/>
    </xf>
    <xf numFmtId="0" fontId="36" fillId="3" borderId="0" xfId="2" applyFont="1" applyFill="1" applyBorder="1" applyAlignment="1" applyProtection="1">
      <alignment horizontal="center" textRotation="90"/>
    </xf>
    <xf numFmtId="1" fontId="36" fillId="3" borderId="0" xfId="2" applyNumberFormat="1" applyFont="1" applyFill="1" applyBorder="1" applyAlignment="1" applyProtection="1">
      <alignment horizontal="center"/>
    </xf>
    <xf numFmtId="49" fontId="35" fillId="3" borderId="0" xfId="2" applyNumberFormat="1" applyFont="1" applyFill="1" applyBorder="1" applyProtection="1"/>
    <xf numFmtId="49" fontId="31" fillId="0" borderId="0" xfId="2" applyNumberFormat="1" applyFont="1" applyBorder="1" applyAlignment="1" applyProtection="1">
      <alignment horizontal="left" vertical="center"/>
    </xf>
    <xf numFmtId="0" fontId="37" fillId="0" borderId="0" xfId="2" applyNumberFormat="1" applyFont="1" applyBorder="1" applyAlignment="1" applyProtection="1"/>
    <xf numFmtId="0" fontId="33" fillId="0" borderId="0" xfId="2" applyNumberFormat="1" applyFont="1" applyBorder="1" applyAlignment="1" applyProtection="1"/>
    <xf numFmtId="0" fontId="14" fillId="0" borderId="0" xfId="2" applyNumberFormat="1" applyFont="1" applyBorder="1" applyAlignment="1" applyProtection="1"/>
    <xf numFmtId="0" fontId="3" fillId="0" borderId="1" xfId="2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Protection="1"/>
    <xf numFmtId="0" fontId="8" fillId="0" borderId="0" xfId="0" applyFont="1" applyFill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38" fillId="0" borderId="0" xfId="2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right"/>
    </xf>
    <xf numFmtId="0" fontId="39" fillId="0" borderId="0" xfId="2" applyFont="1" applyFill="1" applyBorder="1" applyProtection="1"/>
    <xf numFmtId="49" fontId="39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4" fillId="0" borderId="0" xfId="2" applyNumberFormat="1" applyFont="1" applyFill="1" applyBorder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41" fillId="0" borderId="0" xfId="0" applyFont="1" applyFill="1" applyBorder="1" applyProtection="1"/>
    <xf numFmtId="1" fontId="40" fillId="0" borderId="0" xfId="0" applyNumberFormat="1" applyFont="1" applyFill="1" applyBorder="1" applyAlignment="1" applyProtection="1">
      <alignment horizontal="center" vertical="top"/>
    </xf>
    <xf numFmtId="1" fontId="42" fillId="0" borderId="0" xfId="0" applyNumberFormat="1" applyFont="1" applyFill="1" applyBorder="1" applyProtection="1"/>
    <xf numFmtId="1" fontId="40" fillId="0" borderId="0" xfId="0" applyNumberFormat="1" applyFont="1" applyFill="1" applyBorder="1" applyAlignment="1" applyProtection="1">
      <alignment vertical="center"/>
    </xf>
    <xf numFmtId="1" fontId="31" fillId="0" borderId="0" xfId="0" applyNumberFormat="1" applyFont="1" applyFill="1" applyBorder="1" applyAlignment="1" applyProtection="1">
      <alignment horizontal="right"/>
    </xf>
    <xf numFmtId="49" fontId="31" fillId="0" borderId="0" xfId="0" applyNumberFormat="1" applyFont="1" applyBorder="1" applyAlignment="1" applyProtection="1">
      <alignment horizontal="center"/>
    </xf>
    <xf numFmtId="1" fontId="3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49" fontId="35" fillId="0" borderId="0" xfId="2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4" fillId="0" borderId="0" xfId="2" applyFont="1" applyProtection="1"/>
    <xf numFmtId="49" fontId="43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 applyProtection="1">
      <alignment vertical="top"/>
    </xf>
    <xf numFmtId="49" fontId="43" fillId="0" borderId="0" xfId="2" applyNumberFormat="1" applyFont="1" applyBorder="1" applyProtection="1"/>
    <xf numFmtId="0" fontId="3" fillId="0" borderId="0" xfId="2" applyFont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30" fillId="0" borderId="0" xfId="2" applyFont="1" applyFill="1" applyProtection="1"/>
    <xf numFmtId="0" fontId="25" fillId="3" borderId="0" xfId="2" applyFont="1" applyFill="1" applyAlignment="1" applyProtection="1">
      <alignment horizontal="center"/>
    </xf>
    <xf numFmtId="49" fontId="25" fillId="3" borderId="0" xfId="2" applyNumberFormat="1" applyFont="1" applyFill="1" applyProtection="1"/>
    <xf numFmtId="49" fontId="35" fillId="3" borderId="0" xfId="2" applyNumberFormat="1" applyFont="1" applyFill="1" applyProtection="1"/>
    <xf numFmtId="0" fontId="3" fillId="3" borderId="0" xfId="2" applyFont="1" applyFill="1" applyProtection="1"/>
    <xf numFmtId="0" fontId="3" fillId="3" borderId="4" xfId="2" applyFont="1" applyFill="1" applyBorder="1" applyProtection="1"/>
    <xf numFmtId="0" fontId="3" fillId="3" borderId="5" xfId="2" applyFont="1" applyFill="1" applyBorder="1" applyProtection="1"/>
    <xf numFmtId="49" fontId="3" fillId="3" borderId="6" xfId="2" applyNumberFormat="1" applyFont="1" applyFill="1" applyBorder="1" applyProtection="1"/>
    <xf numFmtId="49" fontId="35" fillId="3" borderId="5" xfId="2" applyNumberFormat="1" applyFont="1" applyFill="1" applyBorder="1" applyProtection="1"/>
    <xf numFmtId="0" fontId="3" fillId="3" borderId="5" xfId="2" applyFont="1" applyFill="1" applyBorder="1" applyAlignment="1" applyProtection="1">
      <alignment horizontal="right"/>
    </xf>
    <xf numFmtId="0" fontId="29" fillId="3" borderId="0" xfId="2" applyFont="1" applyFill="1" applyBorder="1" applyProtection="1"/>
    <xf numFmtId="0" fontId="29" fillId="3" borderId="0" xfId="2" applyFont="1" applyFill="1" applyBorder="1" applyAlignment="1" applyProtection="1">
      <alignment horizontal="center"/>
    </xf>
    <xf numFmtId="49" fontId="29" fillId="3" borderId="0" xfId="2" applyNumberFormat="1" applyFont="1" applyFill="1" applyBorder="1" applyProtection="1"/>
    <xf numFmtId="0" fontId="3" fillId="3" borderId="10" xfId="2" applyFont="1" applyFill="1" applyBorder="1" applyProtection="1"/>
    <xf numFmtId="0" fontId="1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center"/>
    </xf>
    <xf numFmtId="0" fontId="42" fillId="3" borderId="0" xfId="2" applyFont="1" applyFill="1" applyBorder="1" applyAlignment="1" applyProtection="1">
      <alignment horizontal="center"/>
    </xf>
    <xf numFmtId="49" fontId="8" fillId="3" borderId="10" xfId="2" applyNumberFormat="1" applyFont="1" applyFill="1" applyBorder="1" applyAlignment="1" applyProtection="1">
      <alignment horizontal="center"/>
    </xf>
    <xf numFmtId="49" fontId="8" fillId="3" borderId="0" xfId="2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/>
    <xf numFmtId="0" fontId="3" fillId="3" borderId="0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0" fontId="3" fillId="0" borderId="10" xfId="2" applyNumberFormat="1" applyFont="1" applyFill="1" applyBorder="1" applyAlignment="1" applyProtection="1">
      <alignment horizontal="center" vertical="center"/>
    </xf>
    <xf numFmtId="49" fontId="3" fillId="3" borderId="0" xfId="2" applyNumberFormat="1" applyFont="1" applyFill="1" applyBorder="1" applyProtection="1"/>
    <xf numFmtId="0" fontId="44" fillId="3" borderId="0" xfId="2" applyFont="1" applyFill="1" applyBorder="1" applyAlignment="1" applyProtection="1">
      <alignment horizontal="left" vertical="center"/>
    </xf>
    <xf numFmtId="0" fontId="29" fillId="3" borderId="0" xfId="2" applyFont="1" applyFill="1" applyProtection="1"/>
    <xf numFmtId="0" fontId="45" fillId="3" borderId="0" xfId="2" applyFont="1" applyFill="1" applyAlignment="1" applyProtection="1">
      <alignment horizontal="left" vertical="center"/>
    </xf>
    <xf numFmtId="0" fontId="3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 vertical="center"/>
    </xf>
    <xf numFmtId="0" fontId="25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/>
    </xf>
    <xf numFmtId="49" fontId="25" fillId="3" borderId="12" xfId="2" applyNumberFormat="1" applyFont="1" applyFill="1" applyBorder="1" applyProtection="1"/>
    <xf numFmtId="49" fontId="25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/>
    </xf>
    <xf numFmtId="0" fontId="46" fillId="3" borderId="0" xfId="2" applyFont="1" applyFill="1" applyBorder="1" applyProtection="1"/>
    <xf numFmtId="0" fontId="46" fillId="3" borderId="0" xfId="2" applyFont="1" applyFill="1" applyProtection="1"/>
    <xf numFmtId="49" fontId="3" fillId="3" borderId="4" xfId="2" applyNumberFormat="1" applyFont="1" applyFill="1" applyBorder="1" applyProtection="1"/>
    <xf numFmtId="49" fontId="35" fillId="3" borderId="14" xfId="2" applyNumberFormat="1" applyFont="1" applyFill="1" applyBorder="1" applyProtection="1"/>
    <xf numFmtId="0" fontId="3" fillId="3" borderId="0" xfId="2" applyFont="1" applyFill="1" applyBorder="1" applyAlignment="1" applyProtection="1">
      <alignment horizontal="center"/>
    </xf>
    <xf numFmtId="49" fontId="47" fillId="3" borderId="0" xfId="2" applyNumberFormat="1" applyFont="1" applyFill="1" applyBorder="1" applyAlignment="1" applyProtection="1">
      <alignment horizontal="center"/>
    </xf>
    <xf numFmtId="0" fontId="3" fillId="3" borderId="12" xfId="2" applyFont="1" applyFill="1" applyBorder="1" applyProtection="1"/>
    <xf numFmtId="49" fontId="3" fillId="3" borderId="12" xfId="2" applyNumberFormat="1" applyFont="1" applyFill="1" applyBorder="1" applyProtection="1"/>
    <xf numFmtId="49" fontId="35" fillId="3" borderId="11" xfId="2" applyNumberFormat="1" applyFont="1" applyFill="1" applyBorder="1" applyProtection="1"/>
    <xf numFmtId="49" fontId="3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 vertical="center"/>
    </xf>
    <xf numFmtId="0" fontId="25" fillId="3" borderId="12" xfId="2" applyFont="1" applyFill="1" applyBorder="1" applyProtection="1"/>
    <xf numFmtId="0" fontId="28" fillId="0" borderId="0" xfId="0" applyFont="1" applyFill="1" applyBorder="1" applyAlignment="1" applyProtection="1">
      <alignment vertical="center"/>
    </xf>
    <xf numFmtId="0" fontId="14" fillId="0" borderId="1" xfId="2" applyNumberFormat="1" applyFont="1" applyBorder="1" applyAlignment="1" applyProtection="1"/>
    <xf numFmtId="0" fontId="8" fillId="3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9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top"/>
    </xf>
    <xf numFmtId="0" fontId="8" fillId="3" borderId="1" xfId="2" applyFont="1" applyFill="1" applyBorder="1" applyAlignment="1" applyProtection="1">
      <alignment horizontal="center"/>
    </xf>
    <xf numFmtId="49" fontId="3" fillId="3" borderId="0" xfId="2" applyNumberFormat="1" applyFont="1" applyFill="1" applyProtection="1"/>
    <xf numFmtId="0" fontId="3" fillId="3" borderId="2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/>
    </xf>
    <xf numFmtId="0" fontId="33" fillId="0" borderId="1" xfId="2" applyNumberFormat="1" applyFont="1" applyBorder="1" applyAlignment="1" applyProtection="1">
      <alignment horizontal="left"/>
    </xf>
    <xf numFmtId="0" fontId="3" fillId="3" borderId="0" xfId="2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 vertical="center"/>
    </xf>
    <xf numFmtId="0" fontId="30" fillId="3" borderId="0" xfId="2" applyFont="1" applyFill="1" applyProtection="1"/>
    <xf numFmtId="0" fontId="29" fillId="0" borderId="0" xfId="2" applyFont="1" applyBorder="1" applyProtection="1"/>
    <xf numFmtId="0" fontId="52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vertical="top"/>
    </xf>
    <xf numFmtId="0" fontId="54" fillId="0" borderId="0" xfId="2" applyFont="1" applyBorder="1" applyProtection="1"/>
    <xf numFmtId="0" fontId="55" fillId="0" borderId="0" xfId="2" applyFont="1" applyBorder="1" applyProtection="1"/>
    <xf numFmtId="0" fontId="56" fillId="0" borderId="0" xfId="0" applyFont="1" applyBorder="1" applyAlignment="1" applyProtection="1"/>
    <xf numFmtId="0" fontId="29" fillId="0" borderId="0" xfId="2" applyFont="1" applyFill="1" applyBorder="1" applyProtection="1"/>
    <xf numFmtId="0" fontId="57" fillId="0" borderId="0" xfId="0" applyFont="1" applyBorder="1" applyAlignment="1" applyProtection="1">
      <alignment horizontal="center"/>
    </xf>
    <xf numFmtId="0" fontId="46" fillId="0" borderId="0" xfId="2" applyFont="1" applyBorder="1" applyProtection="1"/>
    <xf numFmtId="49" fontId="58" fillId="0" borderId="0" xfId="2" applyNumberFormat="1" applyFont="1" applyBorder="1" applyAlignment="1" applyProtection="1">
      <alignment horizontal="center"/>
    </xf>
    <xf numFmtId="0" fontId="28" fillId="0" borderId="0" xfId="2" applyNumberFormat="1" applyFont="1" applyBorder="1" applyAlignment="1" applyProtection="1"/>
    <xf numFmtId="0" fontId="51" fillId="0" borderId="0" xfId="2" applyFont="1" applyBorder="1" applyAlignment="1" applyProtection="1"/>
    <xf numFmtId="0" fontId="46" fillId="0" borderId="0" xfId="2" applyFont="1" applyBorder="1" applyAlignment="1" applyProtection="1"/>
    <xf numFmtId="49" fontId="30" fillId="0" borderId="0" xfId="2" applyNumberFormat="1" applyFont="1" applyBorder="1" applyAlignment="1" applyProtection="1">
      <alignment horizontal="center"/>
    </xf>
    <xf numFmtId="49" fontId="55" fillId="0" borderId="0" xfId="2" applyNumberFormat="1" applyFont="1" applyBorder="1" applyProtection="1"/>
    <xf numFmtId="49" fontId="29" fillId="0" borderId="0" xfId="2" applyNumberFormat="1" applyFont="1" applyBorder="1" applyProtection="1"/>
    <xf numFmtId="0" fontId="30" fillId="3" borderId="0" xfId="2" applyFont="1" applyFill="1" applyBorder="1" applyAlignment="1" applyProtection="1">
      <alignment vertical="center"/>
    </xf>
    <xf numFmtId="0" fontId="29" fillId="3" borderId="0" xfId="2" applyFont="1" applyFill="1" applyAlignment="1" applyProtection="1">
      <alignment horizontal="center" vertical="center"/>
    </xf>
    <xf numFmtId="1" fontId="29" fillId="3" borderId="0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left"/>
    </xf>
    <xf numFmtId="0" fontId="28" fillId="0" borderId="1" xfId="2" applyNumberFormat="1" applyFont="1" applyBorder="1" applyAlignment="1" applyProtection="1"/>
    <xf numFmtId="0" fontId="44" fillId="0" borderId="1" xfId="2" applyNumberFormat="1" applyFont="1" applyBorder="1" applyAlignment="1" applyProtection="1"/>
    <xf numFmtId="0" fontId="3" fillId="0" borderId="1" xfId="2" applyFont="1" applyBorder="1" applyAlignment="1" applyProtection="1">
      <alignment horizontal="center"/>
    </xf>
    <xf numFmtId="0" fontId="3" fillId="0" borderId="18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5" fillId="0" borderId="1" xfId="2" applyFont="1" applyBorder="1" applyAlignment="1" applyProtection="1">
      <alignment horizontal="center"/>
    </xf>
    <xf numFmtId="0" fontId="5" fillId="0" borderId="18" xfId="2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9" fontId="3" fillId="0" borderId="0" xfId="2" applyNumberFormat="1" applyFont="1" applyProtection="1"/>
    <xf numFmtId="0" fontId="54" fillId="3" borderId="0" xfId="2" applyFont="1" applyFill="1" applyProtection="1"/>
    <xf numFmtId="0" fontId="12" fillId="0" borderId="0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/>
    </xf>
    <xf numFmtId="0" fontId="46" fillId="0" borderId="0" xfId="2" applyFont="1" applyProtection="1"/>
    <xf numFmtId="1" fontId="3" fillId="3" borderId="0" xfId="2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49" fontId="35" fillId="0" borderId="0" xfId="2" applyNumberFormat="1" applyFont="1" applyProtection="1"/>
    <xf numFmtId="0" fontId="28" fillId="3" borderId="0" xfId="2" applyFont="1" applyFill="1" applyBorder="1" applyAlignment="1" applyProtection="1">
      <alignment horizontal="left" vertical="center"/>
    </xf>
    <xf numFmtId="0" fontId="28" fillId="3" borderId="0" xfId="2" applyFont="1" applyFill="1" applyBorder="1" applyAlignment="1" applyProtection="1">
      <alignment vertical="center"/>
    </xf>
    <xf numFmtId="0" fontId="29" fillId="3" borderId="11" xfId="2" applyFont="1" applyFill="1" applyBorder="1" applyProtection="1"/>
    <xf numFmtId="1" fontId="55" fillId="3" borderId="0" xfId="2" applyNumberFormat="1" applyFont="1" applyFill="1" applyBorder="1" applyAlignment="1" applyProtection="1"/>
    <xf numFmtId="0" fontId="51" fillId="3" borderId="0" xfId="0" applyFont="1" applyFill="1" applyBorder="1" applyAlignment="1" applyProtection="1">
      <alignment vertical="center"/>
    </xf>
    <xf numFmtId="0" fontId="55" fillId="3" borderId="0" xfId="2" applyFont="1" applyFill="1" applyBorder="1" applyAlignment="1" applyProtection="1">
      <alignment horizontal="center" textRotation="90"/>
    </xf>
    <xf numFmtId="49" fontId="30" fillId="0" borderId="0" xfId="2" applyNumberFormat="1" applyFont="1" applyBorder="1" applyProtection="1"/>
    <xf numFmtId="0" fontId="51" fillId="3" borderId="0" xfId="0" applyFont="1" applyFill="1" applyBorder="1" applyAlignment="1" applyProtection="1">
      <alignment horizontal="center"/>
    </xf>
    <xf numFmtId="0" fontId="51" fillId="3" borderId="15" xfId="0" applyFont="1" applyFill="1" applyBorder="1" applyAlignment="1" applyProtection="1">
      <alignment vertical="center"/>
    </xf>
    <xf numFmtId="0" fontId="51" fillId="3" borderId="11" xfId="0" applyFont="1" applyFill="1" applyBorder="1" applyAlignment="1" applyProtection="1">
      <alignment horizontal="center" vertical="center"/>
    </xf>
    <xf numFmtId="0" fontId="29" fillId="3" borderId="0" xfId="2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left"/>
    </xf>
    <xf numFmtId="0" fontId="60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4" fillId="0" borderId="0" xfId="2" applyFont="1" applyBorder="1" applyAlignment="1" applyProtection="1"/>
    <xf numFmtId="0" fontId="30" fillId="3" borderId="0" xfId="2" applyFont="1" applyFill="1" applyBorder="1" applyProtection="1"/>
    <xf numFmtId="0" fontId="45" fillId="3" borderId="0" xfId="2" applyFont="1" applyFill="1" applyBorder="1" applyAlignment="1" applyProtection="1">
      <alignment horizontal="left" vertical="center"/>
    </xf>
    <xf numFmtId="49" fontId="44" fillId="0" borderId="0" xfId="2" applyNumberFormat="1" applyFont="1" applyBorder="1" applyAlignment="1" applyProtection="1">
      <alignment horizontal="left"/>
    </xf>
    <xf numFmtId="0" fontId="40" fillId="0" borderId="0" xfId="2" applyNumberFormat="1" applyFont="1" applyBorder="1" applyAlignment="1" applyProtection="1"/>
    <xf numFmtId="49" fontId="29" fillId="3" borderId="0" xfId="2" applyNumberFormat="1" applyFont="1" applyFill="1" applyProtection="1"/>
    <xf numFmtId="49" fontId="29" fillId="3" borderId="6" xfId="2" applyNumberFormat="1" applyFont="1" applyFill="1" applyBorder="1" applyProtection="1"/>
    <xf numFmtId="49" fontId="51" fillId="3" borderId="10" xfId="2" applyNumberFormat="1" applyFont="1" applyFill="1" applyBorder="1" applyAlignment="1" applyProtection="1">
      <alignment horizontal="center"/>
    </xf>
    <xf numFmtId="0" fontId="29" fillId="0" borderId="10" xfId="2" applyNumberFormat="1" applyFont="1" applyFill="1" applyBorder="1" applyAlignment="1" applyProtection="1">
      <alignment horizontal="center" vertical="center"/>
    </xf>
    <xf numFmtId="49" fontId="29" fillId="3" borderId="4" xfId="2" applyNumberFormat="1" applyFont="1" applyFill="1" applyBorder="1" applyProtection="1"/>
    <xf numFmtId="0" fontId="29" fillId="0" borderId="0" xfId="2" applyNumberFormat="1" applyFont="1" applyFill="1" applyBorder="1" applyAlignment="1" applyProtection="1">
      <alignment horizontal="center" vertical="center"/>
    </xf>
    <xf numFmtId="2" fontId="7" fillId="3" borderId="0" xfId="2" applyNumberFormat="1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51" fillId="0" borderId="0" xfId="2" applyFont="1" applyBorder="1" applyAlignment="1" applyProtection="1">
      <alignment horizontal="center" textRotation="90"/>
    </xf>
    <xf numFmtId="0" fontId="51" fillId="0" borderId="0" xfId="0" applyFont="1" applyBorder="1" applyAlignment="1" applyProtection="1"/>
    <xf numFmtId="0" fontId="29" fillId="0" borderId="0" xfId="2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0" fontId="51" fillId="0" borderId="0" xfId="0" applyFont="1" applyFill="1" applyBorder="1" applyProtection="1"/>
    <xf numFmtId="49" fontId="61" fillId="0" borderId="0" xfId="0" applyNumberFormat="1" applyFont="1" applyBorder="1" applyAlignment="1" applyProtection="1">
      <alignment horizontal="center"/>
    </xf>
    <xf numFmtId="0" fontId="42" fillId="0" borderId="0" xfId="0" applyFont="1" applyFill="1" applyProtection="1"/>
    <xf numFmtId="0" fontId="3" fillId="0" borderId="0" xfId="2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1" fontId="40" fillId="0" borderId="0" xfId="0" applyNumberFormat="1" applyFont="1" applyFill="1" applyBorder="1" applyAlignment="1" applyProtection="1">
      <alignment horizontal="left"/>
    </xf>
    <xf numFmtId="0" fontId="50" fillId="0" borderId="1" xfId="2" applyNumberFormat="1" applyFont="1" applyFill="1" applyBorder="1" applyAlignment="1" applyProtection="1">
      <alignment horizontal="left" vertical="center"/>
      <protection locked="0"/>
    </xf>
    <xf numFmtId="1" fontId="50" fillId="0" borderId="0" xfId="2" applyNumberFormat="1" applyFont="1" applyFill="1" applyBorder="1" applyAlignment="1" applyProtection="1">
      <alignment horizontal="center"/>
    </xf>
    <xf numFmtId="49" fontId="50" fillId="0" borderId="0" xfId="2" applyNumberFormat="1" applyFont="1" applyFill="1" applyBorder="1" applyAlignment="1" applyProtection="1">
      <alignment horizontal="center"/>
    </xf>
    <xf numFmtId="0" fontId="39" fillId="0" borderId="0" xfId="0" applyFont="1" applyBorder="1" applyAlignment="1" applyProtection="1"/>
    <xf numFmtId="49" fontId="5" fillId="0" borderId="1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top"/>
    </xf>
    <xf numFmtId="0" fontId="62" fillId="0" borderId="0" xfId="0" applyFont="1" applyFill="1" applyBorder="1" applyAlignment="1" applyProtection="1">
      <alignment wrapText="1"/>
    </xf>
    <xf numFmtId="49" fontId="50" fillId="0" borderId="0" xfId="2" applyNumberFormat="1" applyFont="1" applyFill="1" applyBorder="1" applyAlignment="1" applyProtection="1">
      <alignment horizontal="left"/>
    </xf>
    <xf numFmtId="49" fontId="50" fillId="0" borderId="0" xfId="2" applyNumberFormat="1" applyFont="1" applyFill="1" applyBorder="1" applyAlignment="1" applyProtection="1"/>
    <xf numFmtId="49" fontId="39" fillId="0" borderId="0" xfId="0" applyNumberFormat="1" applyFont="1" applyBorder="1" applyAlignment="1" applyProtection="1"/>
    <xf numFmtId="49" fontId="32" fillId="0" borderId="0" xfId="0" applyNumberFormat="1" applyFont="1" applyBorder="1" applyAlignment="1" applyProtection="1"/>
    <xf numFmtId="0" fontId="54" fillId="0" borderId="0" xfId="2" applyFont="1" applyProtection="1"/>
    <xf numFmtId="0" fontId="25" fillId="0" borderId="0" xfId="2" applyFont="1" applyProtection="1"/>
    <xf numFmtId="0" fontId="27" fillId="0" borderId="0" xfId="2" applyFont="1" applyProtection="1"/>
    <xf numFmtId="49" fontId="29" fillId="0" borderId="0" xfId="2" applyNumberFormat="1" applyFont="1" applyProtection="1"/>
    <xf numFmtId="0" fontId="5" fillId="0" borderId="1" xfId="0" applyNumberFormat="1" applyFont="1" applyBorder="1" applyAlignment="1" applyProtection="1"/>
    <xf numFmtId="0" fontId="0" fillId="0" borderId="1" xfId="0" applyBorder="1" applyAlignment="1" applyProtection="1"/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0" borderId="2" xfId="2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</xf>
    <xf numFmtId="0" fontId="18" fillId="3" borderId="0" xfId="2" applyFont="1" applyFill="1" applyProtection="1"/>
    <xf numFmtId="0" fontId="8" fillId="0" borderId="0" xfId="2" applyFont="1" applyBorder="1" applyProtection="1"/>
    <xf numFmtId="14" fontId="3" fillId="0" borderId="21" xfId="2" applyNumberFormat="1" applyFont="1" applyBorder="1" applyAlignment="1" applyProtection="1"/>
    <xf numFmtId="49" fontId="27" fillId="0" borderId="0" xfId="2" applyNumberFormat="1" applyFont="1" applyBorder="1" applyAlignment="1" applyProtection="1">
      <alignment horizontal="center" vertical="center"/>
    </xf>
    <xf numFmtId="0" fontId="25" fillId="0" borderId="0" xfId="2" applyFont="1" applyBorder="1" applyProtection="1"/>
    <xf numFmtId="0" fontId="31" fillId="0" borderId="0" xfId="2" applyFont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  <xf numFmtId="0" fontId="3" fillId="0" borderId="1" xfId="2" applyFont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9" fillId="0" borderId="0" xfId="2" applyNumberFormat="1" applyFont="1" applyBorder="1" applyAlignment="1" applyProtection="1"/>
    <xf numFmtId="0" fontId="39" fillId="0" borderId="0" xfId="2" applyFont="1" applyBorder="1" applyProtection="1"/>
    <xf numFmtId="0" fontId="68" fillId="0" borderId="0" xfId="2" applyFont="1" applyBorder="1" applyAlignment="1" applyProtection="1">
      <alignment horizontal="left"/>
    </xf>
    <xf numFmtId="49" fontId="33" fillId="0" borderId="0" xfId="2" applyNumberFormat="1" applyFont="1" applyBorder="1" applyAlignment="1" applyProtection="1">
      <alignment horizontal="center"/>
    </xf>
    <xf numFmtId="2" fontId="32" fillId="0" borderId="0" xfId="2" applyNumberFormat="1" applyFont="1" applyBorder="1" applyAlignment="1" applyProtection="1">
      <alignment horizontal="center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7" fillId="0" borderId="0" xfId="2" applyFont="1" applyBorder="1" applyAlignment="1" applyProtection="1">
      <alignment horizontal="center"/>
    </xf>
    <xf numFmtId="49" fontId="50" fillId="0" borderId="0" xfId="2" applyNumberFormat="1" applyFont="1" applyBorder="1" applyAlignment="1" applyProtection="1">
      <alignment horizontal="center"/>
    </xf>
    <xf numFmtId="0" fontId="39" fillId="0" borderId="0" xfId="2" applyFont="1" applyProtection="1"/>
    <xf numFmtId="0" fontId="69" fillId="3" borderId="0" xfId="0" applyFont="1" applyFill="1" applyBorder="1" applyAlignment="1" applyProtection="1">
      <alignment horizontal="center"/>
    </xf>
    <xf numFmtId="49" fontId="69" fillId="3" borderId="0" xfId="0" applyNumberFormat="1" applyFont="1" applyFill="1" applyBorder="1" applyAlignment="1" applyProtection="1">
      <alignment horizontal="center"/>
    </xf>
    <xf numFmtId="0" fontId="70" fillId="3" borderId="0" xfId="0" applyFont="1" applyFill="1" applyAlignment="1" applyProtection="1">
      <alignment horizontal="center"/>
    </xf>
    <xf numFmtId="0" fontId="70" fillId="3" borderId="0" xfId="0" applyFont="1" applyFill="1" applyBorder="1" applyAlignment="1" applyProtection="1">
      <alignment horizontal="center" vertical="top"/>
    </xf>
    <xf numFmtId="0" fontId="26" fillId="3" borderId="0" xfId="2" applyFont="1" applyFill="1" applyProtection="1"/>
    <xf numFmtId="0" fontId="71" fillId="3" borderId="0" xfId="2" applyFont="1" applyFill="1" applyBorder="1" applyAlignment="1" applyProtection="1">
      <alignment horizontal="center" vertical="center"/>
    </xf>
    <xf numFmtId="0" fontId="71" fillId="3" borderId="0" xfId="2" applyFont="1" applyFill="1" applyBorder="1" applyProtection="1"/>
    <xf numFmtId="0" fontId="71" fillId="3" borderId="0" xfId="2" applyFont="1" applyFill="1" applyProtection="1"/>
    <xf numFmtId="0" fontId="25" fillId="3" borderId="0" xfId="2" applyFont="1" applyFill="1" applyAlignment="1" applyProtection="1"/>
    <xf numFmtId="0" fontId="25" fillId="3" borderId="0" xfId="2" applyFont="1" applyFill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/>
    </xf>
    <xf numFmtId="0" fontId="64" fillId="0" borderId="0" xfId="2" applyFont="1" applyAlignment="1" applyProtection="1">
      <alignment horizontal="left" vertical="center"/>
    </xf>
    <xf numFmtId="0" fontId="67" fillId="0" borderId="1" xfId="2" applyNumberFormat="1" applyFont="1" applyBorder="1" applyAlignment="1" applyProtection="1"/>
    <xf numFmtId="0" fontId="25" fillId="0" borderId="0" xfId="2" applyFont="1" applyBorder="1" applyAlignment="1" applyProtection="1">
      <alignment horizontal="center"/>
    </xf>
    <xf numFmtId="0" fontId="27" fillId="3" borderId="0" xfId="2" applyNumberFormat="1" applyFont="1" applyFill="1" applyBorder="1" applyAlignment="1" applyProtection="1">
      <alignment horizontal="center" vertical="center"/>
    </xf>
    <xf numFmtId="0" fontId="27" fillId="0" borderId="0" xfId="2" applyFont="1" applyBorder="1" applyProtection="1"/>
    <xf numFmtId="0" fontId="25" fillId="3" borderId="7" xfId="2" applyFont="1" applyFill="1" applyBorder="1" applyProtection="1"/>
    <xf numFmtId="0" fontId="25" fillId="3" borderId="9" xfId="2" applyFont="1" applyFill="1" applyBorder="1" applyProtection="1"/>
    <xf numFmtId="0" fontId="25" fillId="3" borderId="13" xfId="2" applyFont="1" applyFill="1" applyBorder="1" applyProtection="1"/>
    <xf numFmtId="0" fontId="70" fillId="0" borderId="0" xfId="0" applyFont="1" applyBorder="1" applyAlignment="1" applyProtection="1">
      <alignment horizontal="center"/>
    </xf>
    <xf numFmtId="0" fontId="25" fillId="3" borderId="0" xfId="2" applyFont="1" applyFill="1" applyAlignment="1" applyProtection="1">
      <alignment horizontal="center" vertical="center"/>
    </xf>
    <xf numFmtId="0" fontId="26" fillId="0" borderId="0" xfId="2" applyFont="1" applyBorder="1" applyAlignment="1" applyProtection="1">
      <alignment horizontal="right"/>
    </xf>
    <xf numFmtId="0" fontId="27" fillId="0" borderId="0" xfId="2" applyFont="1" applyBorder="1" applyAlignment="1" applyProtection="1">
      <alignment horizontal="right" vertical="center"/>
    </xf>
    <xf numFmtId="0" fontId="61" fillId="0" borderId="0" xfId="2" applyFont="1" applyBorder="1" applyAlignment="1" applyProtection="1">
      <alignment horizontal="left"/>
    </xf>
    <xf numFmtId="2" fontId="42" fillId="0" borderId="21" xfId="2" applyNumberFormat="1" applyFont="1" applyBorder="1" applyAlignment="1" applyProtection="1">
      <alignment horizontal="center"/>
    </xf>
    <xf numFmtId="0" fontId="71" fillId="0" borderId="0" xfId="2" applyFont="1" applyBorder="1" applyProtection="1"/>
    <xf numFmtId="0" fontId="25" fillId="3" borderId="5" xfId="2" applyFont="1" applyFill="1" applyBorder="1" applyProtection="1"/>
    <xf numFmtId="0" fontId="42" fillId="3" borderId="8" xfId="2" applyFont="1" applyFill="1" applyBorder="1" applyAlignment="1" applyProtection="1">
      <alignment horizontal="center"/>
    </xf>
    <xf numFmtId="0" fontId="25" fillId="3" borderId="14" xfId="2" applyFont="1" applyFill="1" applyBorder="1" applyProtection="1"/>
    <xf numFmtId="0" fontId="42" fillId="3" borderId="9" xfId="2" applyFont="1" applyFill="1" applyBorder="1" applyAlignment="1" applyProtection="1">
      <alignment horizontal="center"/>
    </xf>
    <xf numFmtId="0" fontId="25" fillId="3" borderId="9" xfId="2" applyFont="1" applyFill="1" applyBorder="1" applyAlignment="1" applyProtection="1">
      <alignment horizontal="center" vertical="center"/>
    </xf>
    <xf numFmtId="0" fontId="71" fillId="3" borderId="0" xfId="2" applyFont="1" applyFill="1" applyBorder="1" applyAlignment="1" applyProtection="1">
      <alignment horizontal="center" textRotation="90"/>
    </xf>
    <xf numFmtId="1" fontId="71" fillId="3" borderId="0" xfId="2" applyNumberFormat="1" applyFont="1" applyFill="1" applyBorder="1" applyAlignment="1" applyProtection="1">
      <alignment horizontal="center"/>
    </xf>
    <xf numFmtId="0" fontId="64" fillId="3" borderId="0" xfId="2" applyFont="1" applyFill="1" applyBorder="1" applyProtection="1"/>
    <xf numFmtId="49" fontId="5" fillId="0" borderId="0" xfId="2" applyNumberFormat="1" applyFont="1" applyBorder="1" applyAlignment="1" applyProtection="1">
      <alignment horizontal="center" vertical="center"/>
    </xf>
    <xf numFmtId="0" fontId="66" fillId="0" borderId="0" xfId="2" applyNumberFormat="1" applyFont="1" applyBorder="1" applyAlignment="1" applyProtection="1"/>
    <xf numFmtId="0" fontId="5" fillId="3" borderId="0" xfId="2" applyNumberFormat="1" applyFont="1" applyFill="1" applyBorder="1" applyAlignment="1" applyProtection="1">
      <alignment horizontal="center" vertical="center"/>
    </xf>
    <xf numFmtId="0" fontId="26" fillId="0" borderId="0" xfId="2" applyFont="1" applyProtection="1"/>
    <xf numFmtId="0" fontId="27" fillId="0" borderId="0" xfId="2" applyFont="1" applyBorder="1" applyAlignment="1" applyProtection="1">
      <alignment horizontal="right"/>
    </xf>
    <xf numFmtId="0" fontId="42" fillId="0" borderId="1" xfId="0" applyFont="1" applyBorder="1" applyAlignment="1" applyProtection="1"/>
    <xf numFmtId="0" fontId="25" fillId="0" borderId="0" xfId="2" applyFont="1" applyFill="1" applyBorder="1" applyProtection="1"/>
    <xf numFmtId="0" fontId="61" fillId="3" borderId="0" xfId="2" applyFont="1" applyFill="1" applyBorder="1" applyAlignment="1" applyProtection="1">
      <alignment horizontal="left"/>
    </xf>
    <xf numFmtId="0" fontId="25" fillId="3" borderId="1" xfId="2" applyFont="1" applyFill="1" applyBorder="1" applyAlignment="1" applyProtection="1">
      <alignment horizontal="left"/>
    </xf>
    <xf numFmtId="0" fontId="42" fillId="3" borderId="0" xfId="2" applyFont="1" applyFill="1" applyBorder="1" applyProtection="1"/>
    <xf numFmtId="0" fontId="27" fillId="3" borderId="0" xfId="2" applyFont="1" applyFill="1" applyBorder="1" applyProtection="1"/>
    <xf numFmtId="0" fontId="4" fillId="3" borderId="0" xfId="2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3" fillId="3" borderId="9" xfId="2" applyFont="1" applyFill="1" applyBorder="1" applyProtection="1"/>
    <xf numFmtId="14" fontId="42" fillId="0" borderId="0" xfId="2" applyNumberFormat="1" applyFont="1" applyBorder="1" applyAlignment="1" applyProtection="1">
      <alignment horizontal="center" textRotation="90"/>
    </xf>
    <xf numFmtId="1" fontId="38" fillId="0" borderId="0" xfId="2" applyNumberFormat="1" applyFont="1" applyBorder="1" applyAlignment="1" applyProtection="1">
      <alignment horizontal="center" vertical="center"/>
    </xf>
    <xf numFmtId="0" fontId="61" fillId="0" borderId="0" xfId="2" applyFont="1" applyBorder="1" applyAlignment="1" applyProtection="1">
      <alignment horizontal="right"/>
    </xf>
    <xf numFmtId="0" fontId="72" fillId="0" borderId="0" xfId="2" applyNumberFormat="1" applyFont="1" applyBorder="1" applyAlignment="1" applyProtection="1">
      <alignment horizontal="right"/>
    </xf>
    <xf numFmtId="0" fontId="72" fillId="0" borderId="0" xfId="2" applyNumberFormat="1" applyFont="1" applyBorder="1" applyAlignment="1" applyProtection="1"/>
    <xf numFmtId="0" fontId="17" fillId="0" borderId="0" xfId="2" applyNumberFormat="1" applyFont="1" applyBorder="1" applyAlignment="1" applyProtection="1"/>
    <xf numFmtId="0" fontId="27" fillId="0" borderId="0" xfId="2" applyNumberFormat="1" applyFont="1" applyProtection="1"/>
    <xf numFmtId="49" fontId="71" fillId="3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top" wrapText="1" shrinkToFit="1"/>
    </xf>
    <xf numFmtId="49" fontId="48" fillId="0" borderId="0" xfId="0" applyNumberFormat="1" applyFont="1" applyFill="1" applyBorder="1" applyAlignment="1" applyProtection="1">
      <alignment horizontal="left" wrapText="1" shrinkToFit="1"/>
    </xf>
    <xf numFmtId="49" fontId="29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left" vertical="center"/>
    </xf>
    <xf numFmtId="0" fontId="74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30" fillId="0" borderId="1" xfId="2" applyNumberFormat="1" applyFont="1" applyBorder="1" applyAlignment="1" applyProtection="1"/>
    <xf numFmtId="0" fontId="3" fillId="0" borderId="1" xfId="0" applyFont="1" applyBorder="1" applyAlignment="1" applyProtection="1"/>
    <xf numFmtId="0" fontId="29" fillId="0" borderId="0" xfId="2" applyFont="1" applyBorder="1" applyAlignment="1" applyProtection="1"/>
    <xf numFmtId="0" fontId="27" fillId="0" borderId="0" xfId="2" applyNumberFormat="1" applyFont="1" applyBorder="1" applyAlignment="1" applyProtection="1">
      <alignment horizontal="right"/>
    </xf>
    <xf numFmtId="0" fontId="27" fillId="0" borderId="0" xfId="2" applyNumberFormat="1" applyFont="1" applyBorder="1" applyAlignment="1" applyProtection="1"/>
    <xf numFmtId="0" fontId="30" fillId="0" borderId="0" xfId="2" applyNumberFormat="1" applyFont="1" applyBorder="1" applyAlignment="1" applyProtection="1"/>
    <xf numFmtId="2" fontId="17" fillId="0" borderId="2" xfId="2" applyNumberFormat="1" applyFont="1" applyBorder="1" applyAlignment="1" applyProtection="1">
      <alignment horizontal="center"/>
    </xf>
    <xf numFmtId="2" fontId="17" fillId="3" borderId="2" xfId="2" applyNumberFormat="1" applyFont="1" applyFill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8" fillId="0" borderId="18" xfId="2" applyFont="1" applyBorder="1" applyAlignment="1" applyProtection="1">
      <alignment horizontal="center"/>
    </xf>
    <xf numFmtId="0" fontId="14" fillId="3" borderId="1" xfId="2" applyNumberFormat="1" applyFont="1" applyFill="1" applyBorder="1" applyAlignment="1" applyProtection="1">
      <alignment horizontal="center"/>
    </xf>
    <xf numFmtId="0" fontId="14" fillId="3" borderId="18" xfId="2" applyNumberFormat="1" applyFont="1" applyFill="1" applyBorder="1" applyAlignment="1" applyProtection="1">
      <alignment horizontal="center"/>
    </xf>
    <xf numFmtId="0" fontId="18" fillId="0" borderId="0" xfId="2" applyFont="1" applyBorder="1" applyAlignment="1" applyProtection="1">
      <alignment horizontal="right"/>
    </xf>
    <xf numFmtId="0" fontId="18" fillId="0" borderId="0" xfId="2" applyFont="1" applyBorder="1" applyAlignment="1" applyProtection="1">
      <alignment horizontal="left"/>
    </xf>
    <xf numFmtId="1" fontId="8" fillId="4" borderId="3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/>
    </xf>
    <xf numFmtId="0" fontId="5" fillId="0" borderId="0" xfId="2" applyFont="1" applyProtection="1"/>
    <xf numFmtId="49" fontId="5" fillId="0" borderId="0" xfId="2" applyNumberFormat="1" applyFont="1" applyFill="1" applyBorder="1" applyAlignment="1" applyProtection="1">
      <alignment vertical="center"/>
    </xf>
    <xf numFmtId="49" fontId="50" fillId="0" borderId="1" xfId="2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</xf>
    <xf numFmtId="49" fontId="33" fillId="0" borderId="1" xfId="2" applyNumberFormat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</xf>
    <xf numFmtId="14" fontId="50" fillId="0" borderId="18" xfId="2" applyNumberFormat="1" applyFont="1" applyFill="1" applyBorder="1" applyAlignment="1" applyProtection="1">
      <alignment horizontal="left"/>
      <protection locked="0"/>
    </xf>
    <xf numFmtId="14" fontId="63" fillId="0" borderId="0" xfId="2" applyNumberFormat="1" applyFont="1" applyFill="1" applyBorder="1" applyAlignment="1" applyProtection="1">
      <alignment horizontal="left" vertical="center"/>
    </xf>
    <xf numFmtId="0" fontId="5" fillId="0" borderId="1" xfId="2" applyNumberFormat="1" applyFont="1" applyBorder="1" applyProtection="1"/>
    <xf numFmtId="0" fontId="0" fillId="0" borderId="1" xfId="0" applyNumberFormat="1" applyBorder="1" applyProtection="1"/>
    <xf numFmtId="49" fontId="3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5" fillId="3" borderId="5" xfId="2" applyNumberFormat="1" applyFont="1" applyFill="1" applyBorder="1" applyAlignment="1" applyProtection="1"/>
    <xf numFmtId="49" fontId="0" fillId="3" borderId="5" xfId="0" applyNumberFormat="1" applyFill="1" applyBorder="1" applyAlignment="1" applyProtection="1"/>
    <xf numFmtId="49" fontId="29" fillId="0" borderId="0" xfId="2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left"/>
    </xf>
    <xf numFmtId="49" fontId="16" fillId="0" borderId="1" xfId="0" applyNumberFormat="1" applyFont="1" applyBorder="1" applyAlignment="1" applyProtection="1">
      <alignment horizontal="left"/>
    </xf>
    <xf numFmtId="0" fontId="50" fillId="3" borderId="10" xfId="2" applyFont="1" applyFill="1" applyBorder="1" applyAlignment="1" applyProtection="1">
      <alignment horizontal="center" vertical="center" textRotation="90"/>
    </xf>
    <xf numFmtId="0" fontId="37" fillId="3" borderId="10" xfId="0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5" fillId="0" borderId="1" xfId="0" applyNumberFormat="1" applyFont="1" applyBorder="1" applyAlignment="1" applyProtection="1"/>
    <xf numFmtId="0" fontId="0" fillId="0" borderId="1" xfId="0" applyNumberFormat="1" applyBorder="1" applyAlignment="1" applyProtection="1"/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16" fillId="0" borderId="1" xfId="2" applyFont="1" applyBorder="1" applyAlignment="1" applyProtection="1">
      <alignment horizontal="left"/>
    </xf>
    <xf numFmtId="0" fontId="16" fillId="0" borderId="19" xfId="2" applyFont="1" applyBorder="1" applyAlignment="1" applyProtection="1">
      <alignment horizontal="left"/>
    </xf>
    <xf numFmtId="0" fontId="16" fillId="0" borderId="18" xfId="2" applyFont="1" applyBorder="1" applyAlignment="1" applyProtection="1">
      <alignment horizontal="left"/>
    </xf>
    <xf numFmtId="0" fontId="17" fillId="0" borderId="2" xfId="0" applyNumberFormat="1" applyFont="1" applyBorder="1" applyAlignment="1" applyProtection="1">
      <alignment horizontal="left"/>
      <protection locked="0"/>
    </xf>
    <xf numFmtId="0" fontId="16" fillId="0" borderId="16" xfId="0" applyNumberFormat="1" applyFont="1" applyBorder="1" applyAlignment="1" applyProtection="1">
      <alignment horizontal="left"/>
    </xf>
    <xf numFmtId="0" fontId="16" fillId="0" borderId="18" xfId="0" applyNumberFormat="1" applyFont="1" applyBorder="1" applyAlignment="1" applyProtection="1">
      <alignment horizontal="left"/>
    </xf>
    <xf numFmtId="0" fontId="16" fillId="0" borderId="17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49" fontId="16" fillId="0" borderId="16" xfId="0" applyNumberFormat="1" applyFont="1" applyBorder="1" applyAlignment="1" applyProtection="1">
      <alignment horizontal="left"/>
    </xf>
    <xf numFmtId="49" fontId="16" fillId="0" borderId="18" xfId="0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16" fillId="0" borderId="17" xfId="2" applyFont="1" applyBorder="1" applyAlignment="1" applyProtection="1">
      <alignment horizontal="left"/>
    </xf>
    <xf numFmtId="0" fontId="5" fillId="3" borderId="5" xfId="2" applyNumberFormat="1" applyFont="1" applyFill="1" applyBorder="1" applyAlignment="1" applyProtection="1"/>
    <xf numFmtId="0" fontId="0" fillId="3" borderId="5" xfId="0" applyNumberFormat="1" applyFill="1" applyBorder="1" applyAlignment="1" applyProtection="1"/>
    <xf numFmtId="0" fontId="29" fillId="0" borderId="0" xfId="2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 vertical="top" wrapText="1"/>
    </xf>
    <xf numFmtId="0" fontId="3" fillId="0" borderId="0" xfId="2" applyFont="1" applyBorder="1" applyAlignment="1" applyProtection="1">
      <alignment horizontal="left" vertical="top"/>
    </xf>
    <xf numFmtId="2" fontId="7" fillId="3" borderId="0" xfId="2" applyNumberFormat="1" applyFont="1" applyFill="1" applyBorder="1" applyAlignment="1" applyProtection="1">
      <alignment horizontal="center"/>
    </xf>
    <xf numFmtId="0" fontId="7" fillId="3" borderId="0" xfId="2" applyNumberFormat="1" applyFont="1" applyFill="1" applyBorder="1" applyAlignment="1" applyProtection="1">
      <alignment horizontal="left"/>
    </xf>
    <xf numFmtId="0" fontId="50" fillId="3" borderId="0" xfId="2" applyFont="1" applyFill="1" applyBorder="1" applyAlignment="1" applyProtection="1">
      <alignment horizontal="center" vertical="center" textRotation="90"/>
    </xf>
    <xf numFmtId="0" fontId="37" fillId="3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7" fillId="0" borderId="16" xfId="0" applyNumberFormat="1" applyFont="1" applyBorder="1" applyAlignment="1" applyProtection="1">
      <alignment horizontal="left"/>
      <protection locked="0"/>
    </xf>
    <xf numFmtId="0" fontId="17" fillId="0" borderId="18" xfId="0" applyNumberFormat="1" applyFont="1" applyBorder="1" applyAlignment="1" applyProtection="1">
      <alignment horizontal="left"/>
      <protection locked="0"/>
    </xf>
    <xf numFmtId="0" fontId="17" fillId="0" borderId="17" xfId="0" applyNumberFormat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left"/>
    </xf>
    <xf numFmtId="164" fontId="33" fillId="0" borderId="0" xfId="2" applyNumberFormat="1" applyFont="1" applyFill="1" applyBorder="1" applyAlignment="1" applyProtection="1">
      <alignment horizontal="left"/>
    </xf>
    <xf numFmtId="14" fontId="31" fillId="0" borderId="0" xfId="2" applyNumberFormat="1" applyFont="1" applyBorder="1" applyAlignment="1" applyProtection="1">
      <alignment horizontal="left"/>
    </xf>
    <xf numFmtId="14" fontId="31" fillId="0" borderId="0" xfId="0" applyNumberFormat="1" applyFont="1" applyBorder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1" fontId="30" fillId="0" borderId="0" xfId="2" applyNumberFormat="1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0" fontId="51" fillId="0" borderId="0" xfId="0" applyFont="1" applyBorder="1" applyAlignment="1" applyProtection="1"/>
    <xf numFmtId="164" fontId="4" fillId="0" borderId="0" xfId="2" applyNumberFormat="1" applyFont="1" applyFill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/>
    </xf>
    <xf numFmtId="0" fontId="5" fillId="0" borderId="19" xfId="2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  <xf numFmtId="0" fontId="31" fillId="0" borderId="0" xfId="2" applyNumberFormat="1" applyFont="1" applyAlignment="1" applyProtection="1">
      <alignment horizontal="left"/>
    </xf>
    <xf numFmtId="0" fontId="51" fillId="0" borderId="0" xfId="2" applyFont="1" applyBorder="1" applyAlignment="1" applyProtection="1">
      <alignment horizontal="center" textRotation="90"/>
    </xf>
    <xf numFmtId="0" fontId="29" fillId="0" borderId="0" xfId="2" applyFont="1" applyBorder="1" applyAlignment="1" applyProtection="1">
      <alignment horizontal="center"/>
    </xf>
    <xf numFmtId="0" fontId="51" fillId="0" borderId="0" xfId="2" applyFont="1" applyBorder="1" applyProtection="1"/>
    <xf numFmtId="49" fontId="17" fillId="0" borderId="2" xfId="0" applyNumberFormat="1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vertical="center"/>
    </xf>
    <xf numFmtId="0" fontId="5" fillId="3" borderId="0" xfId="2" applyNumberFormat="1" applyFont="1" applyFill="1" applyBorder="1" applyAlignment="1" applyProtection="1"/>
    <xf numFmtId="2" fontId="7" fillId="3" borderId="0" xfId="2" applyNumberFormat="1" applyFont="1" applyFill="1" applyBorder="1" applyAlignment="1" applyProtection="1">
      <alignment horizontal="left"/>
    </xf>
  </cellXfs>
  <cellStyles count="6">
    <cellStyle name="Hyperlink 2" xfId="4" xr:uid="{FB2E6F98-5FEF-4CA9-B448-E9773A1CA04F}"/>
    <cellStyle name="Hyperlinkki" xfId="1" builtinId="8"/>
    <cellStyle name="Normaali" xfId="0" builtinId="0"/>
    <cellStyle name="Normaali 2" xfId="2" xr:uid="{00000000-0005-0000-0000-000001000000}"/>
    <cellStyle name="Normaali 2 2" xfId="5" xr:uid="{AB7E0614-CE74-402B-8001-B0621A315744}"/>
    <cellStyle name="Normal 2" xfId="3" xr:uid="{9BD0085F-746B-4EAF-BB9A-E85DB89C238B}"/>
  </cellStyles>
  <dxfs count="30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C1AA6F2-91B8-4777-A918-71293482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152400</xdr:colOff>
      <xdr:row>3</xdr:row>
      <xdr:rowOff>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4749A1A4-B184-400F-9BBE-B179C47D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114300</xdr:colOff>
      <xdr:row>25</xdr:row>
      <xdr:rowOff>38100</xdr:rowOff>
    </xdr:from>
    <xdr:to>
      <xdr:col>5</xdr:col>
      <xdr:colOff>457200</xdr:colOff>
      <xdr:row>25</xdr:row>
      <xdr:rowOff>171450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AEF5560-B2E4-477B-B0B5-81FFA0C50A79}"/>
            </a:ext>
          </a:extLst>
        </xdr:cNvPr>
        <xdr:cNvSpPr/>
      </xdr:nvSpPr>
      <xdr:spPr>
        <a:xfrm>
          <a:off x="4486275" y="6362700"/>
          <a:ext cx="342900" cy="133350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154781</xdr:colOff>
      <xdr:row>0</xdr:row>
      <xdr:rowOff>0</xdr:rowOff>
    </xdr:from>
    <xdr:to>
      <xdr:col>35</xdr:col>
      <xdr:colOff>212576</xdr:colOff>
      <xdr:row>4</xdr:row>
      <xdr:rowOff>91440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1429BF95-03BD-47A9-843E-FED74DAA04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106" y="0"/>
          <a:ext cx="14097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17689</xdr:colOff>
      <xdr:row>0</xdr:row>
      <xdr:rowOff>17417</xdr:rowOff>
    </xdr:from>
    <xdr:to>
      <xdr:col>3</xdr:col>
      <xdr:colOff>415358</xdr:colOff>
      <xdr:row>4</xdr:row>
      <xdr:rowOff>97427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F6E27229-31FA-4D17-AC9A-1C371E61AF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3371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17076</xdr:colOff>
      <xdr:row>0</xdr:row>
      <xdr:rowOff>20003</xdr:rowOff>
    </xdr:from>
    <xdr:to>
      <xdr:col>36</xdr:col>
      <xdr:colOff>131105</xdr:colOff>
      <xdr:row>5</xdr:row>
      <xdr:rowOff>130493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15343-B0FB-4E56-8F40-7188FF7B46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6860" y="23813"/>
          <a:ext cx="1419906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17689</xdr:colOff>
      <xdr:row>0</xdr:row>
      <xdr:rowOff>17417</xdr:rowOff>
    </xdr:from>
    <xdr:to>
      <xdr:col>3</xdr:col>
      <xdr:colOff>435292</xdr:colOff>
      <xdr:row>5</xdr:row>
      <xdr:rowOff>97427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DAFABE-8692-4F2C-9D2B-CC97DBF2A1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06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O32"/>
  <sheetViews>
    <sheetView showGridLines="0" topLeftCell="A5" zoomScaleNormal="100" workbookViewId="0">
      <selection activeCell="C13" sqref="C13"/>
    </sheetView>
  </sheetViews>
  <sheetFormatPr defaultColWidth="9.140625" defaultRowHeight="12.75" x14ac:dyDescent="0.2"/>
  <cols>
    <col min="1" max="1" width="3.5703125" style="68" customWidth="1"/>
    <col min="2" max="2" width="39.7109375" style="14" customWidth="1"/>
    <col min="3" max="3" width="4.5703125" style="14" customWidth="1"/>
    <col min="4" max="4" width="7.7109375" style="68" customWidth="1"/>
    <col min="5" max="5" width="10" style="68" customWidth="1"/>
    <col min="6" max="6" width="7.85546875" style="68" customWidth="1"/>
    <col min="7" max="7" width="9" style="68" customWidth="1"/>
    <col min="8" max="8" width="8.85546875" style="68" customWidth="1"/>
    <col min="9" max="9" width="7.42578125" style="68" customWidth="1"/>
    <col min="10" max="11" width="7.28515625" style="68" customWidth="1"/>
    <col min="12" max="12" width="2.5703125" style="68" customWidth="1"/>
    <col min="13" max="13" width="4.85546875" style="68" customWidth="1"/>
    <col min="14" max="14" width="2.28515625" style="68" customWidth="1"/>
    <col min="15" max="15" width="9.140625" style="14"/>
    <col min="16" max="16384" width="9.140625" style="68"/>
  </cols>
  <sheetData>
    <row r="1" spans="1:14" s="14" customFormat="1" ht="42.75" customHeight="1" x14ac:dyDescent="1">
      <c r="B1" s="9"/>
      <c r="C1" s="9"/>
      <c r="D1" s="65"/>
      <c r="E1" s="66" t="s">
        <v>26</v>
      </c>
      <c r="I1" s="67"/>
      <c r="J1" s="67"/>
      <c r="K1" s="67"/>
      <c r="M1" s="9"/>
      <c r="N1" s="9"/>
    </row>
    <row r="2" spans="1:14" ht="16.5" customHeight="1" x14ac:dyDescent="1">
      <c r="B2" s="9"/>
      <c r="C2" s="9"/>
      <c r="D2" s="65"/>
      <c r="E2" s="69" t="s">
        <v>67</v>
      </c>
      <c r="H2" s="14"/>
      <c r="I2" s="67"/>
      <c r="J2" s="67"/>
      <c r="K2" s="67"/>
      <c r="L2" s="14"/>
      <c r="M2" s="9"/>
      <c r="N2" s="9"/>
    </row>
    <row r="3" spans="1:14" ht="22.5" customHeight="1" x14ac:dyDescent="0.3">
      <c r="B3" s="9"/>
      <c r="C3" s="9"/>
      <c r="D3" s="70"/>
      <c r="E3" s="71" t="s">
        <v>76</v>
      </c>
      <c r="H3" s="9"/>
      <c r="I3" s="72"/>
      <c r="J3" s="72"/>
      <c r="K3" s="72"/>
      <c r="L3" s="14"/>
      <c r="M3" s="9"/>
      <c r="N3" s="9"/>
    </row>
    <row r="4" spans="1:14" ht="10.5" hidden="1" customHeight="1" x14ac:dyDescent="0.2">
      <c r="B4" s="73" t="s">
        <v>8</v>
      </c>
      <c r="C4" s="73"/>
      <c r="D4" s="74"/>
      <c r="F4" s="14"/>
      <c r="G4" s="8"/>
      <c r="H4" s="9"/>
      <c r="I4" s="10"/>
      <c r="J4" s="10"/>
      <c r="K4" s="10"/>
      <c r="L4" s="10"/>
      <c r="M4" s="8"/>
      <c r="N4" s="11"/>
    </row>
    <row r="5" spans="1:14" ht="20.25" customHeight="1" x14ac:dyDescent="0.25">
      <c r="B5" s="75" t="s">
        <v>60</v>
      </c>
      <c r="C5" s="254">
        <v>3</v>
      </c>
      <c r="D5" s="76"/>
      <c r="F5" s="76"/>
      <c r="G5" s="76"/>
      <c r="H5" s="77"/>
      <c r="I5" s="77"/>
      <c r="J5" s="77"/>
      <c r="K5" s="67"/>
      <c r="L5" s="67"/>
      <c r="M5" s="9"/>
      <c r="N5" s="9"/>
    </row>
    <row r="6" spans="1:14" ht="20.25" customHeight="1" x14ac:dyDescent="0.25">
      <c r="B6" s="75" t="s">
        <v>28</v>
      </c>
      <c r="C6" s="380" t="s">
        <v>91</v>
      </c>
      <c r="D6" s="380"/>
      <c r="E6" s="380"/>
      <c r="F6" s="380"/>
      <c r="G6" s="261"/>
      <c r="H6" s="261"/>
      <c r="I6" s="262"/>
      <c r="J6" s="263"/>
      <c r="N6" s="16"/>
    </row>
    <row r="7" spans="1:14" ht="20.25" customHeight="1" x14ac:dyDescent="0.35">
      <c r="B7" s="75" t="s">
        <v>62</v>
      </c>
      <c r="C7" s="387">
        <v>44541</v>
      </c>
      <c r="D7" s="387"/>
      <c r="E7" s="387"/>
      <c r="F7" s="255"/>
      <c r="G7" s="256"/>
      <c r="H7" s="255"/>
      <c r="I7" s="257"/>
      <c r="J7" s="255"/>
      <c r="K7" s="78"/>
      <c r="L7" s="79"/>
      <c r="M7" s="80"/>
      <c r="N7" s="16"/>
    </row>
    <row r="8" spans="1:14" ht="27" customHeight="1" x14ac:dyDescent="0.25">
      <c r="B8" s="384" t="s">
        <v>92</v>
      </c>
      <c r="C8" s="384"/>
      <c r="D8" s="384"/>
      <c r="E8" s="384"/>
      <c r="F8" s="384"/>
      <c r="G8" s="264"/>
      <c r="H8" s="264"/>
      <c r="I8" s="264"/>
      <c r="J8" s="14"/>
      <c r="K8" s="14"/>
      <c r="L8" s="14"/>
      <c r="M8" s="14"/>
      <c r="N8" s="14"/>
    </row>
    <row r="9" spans="1:14" ht="14.25" customHeight="1" x14ac:dyDescent="0.2">
      <c r="B9" s="23" t="s">
        <v>63</v>
      </c>
      <c r="C9" s="23"/>
      <c r="D9" s="81"/>
      <c r="G9" s="14"/>
      <c r="H9" s="14"/>
      <c r="I9" s="14"/>
      <c r="J9" s="14"/>
      <c r="K9" s="14"/>
      <c r="L9" s="14"/>
      <c r="M9" s="14"/>
      <c r="N9" s="14"/>
    </row>
    <row r="10" spans="1:14" ht="28.5" customHeight="1" x14ac:dyDescent="0.25">
      <c r="B10" s="81" t="s">
        <v>85</v>
      </c>
      <c r="C10" s="260" t="s">
        <v>82</v>
      </c>
      <c r="D10" s="82" t="s">
        <v>10</v>
      </c>
      <c r="E10" s="82" t="s">
        <v>3</v>
      </c>
      <c r="F10" s="83" t="s">
        <v>32</v>
      </c>
      <c r="G10" s="83" t="s">
        <v>31</v>
      </c>
      <c r="H10" s="83" t="s">
        <v>33</v>
      </c>
      <c r="I10" s="82" t="s">
        <v>35</v>
      </c>
      <c r="J10" s="82" t="s">
        <v>24</v>
      </c>
      <c r="K10" s="83" t="s">
        <v>34</v>
      </c>
    </row>
    <row r="11" spans="1:14" ht="20.25" customHeight="1" x14ac:dyDescent="0.25">
      <c r="A11" s="68">
        <v>1</v>
      </c>
      <c r="B11" s="160" t="s">
        <v>94</v>
      </c>
      <c r="C11" s="284"/>
      <c r="D11" s="84">
        <f>'Ottelu 1'!D140+'Ottelu 2'!D146</f>
        <v>392</v>
      </c>
      <c r="E11" s="84">
        <f>'Ottelu 1'!H140+'Ottelu 2'!H146</f>
        <v>10299</v>
      </c>
      <c r="F11" s="84">
        <f>'Ottelu 1'!E140+'Ottelu 2'!E146</f>
        <v>22</v>
      </c>
      <c r="G11" s="84">
        <f>'Ottelu 1'!J140+'Ottelu 2'!J146</f>
        <v>3</v>
      </c>
      <c r="H11" s="84">
        <f>'Ottelu 1'!L140+'Ottelu 2'!L146</f>
        <v>45</v>
      </c>
      <c r="I11" s="84">
        <f>'Ottelu 1'!M140+'Ottelu 2'!M146</f>
        <v>1</v>
      </c>
      <c r="J11" s="85">
        <f>IF(D11=0,0,E11/D11)</f>
        <v>26.272959183673468</v>
      </c>
      <c r="K11" s="85">
        <f>IF(D11=0,0,(H11+I11)/F11)</f>
        <v>2.0909090909090908</v>
      </c>
    </row>
    <row r="12" spans="1:14" ht="20.25" customHeight="1" x14ac:dyDescent="0.25">
      <c r="A12" s="68">
        <v>2</v>
      </c>
      <c r="B12" s="159" t="s">
        <v>95</v>
      </c>
      <c r="C12" s="356"/>
      <c r="D12" s="84">
        <f>'Ottelu 1'!D141+'Ottelu 2'!D147</f>
        <v>385</v>
      </c>
      <c r="E12" s="84">
        <f>'Ottelu 1'!H141+'Ottelu 2'!H147</f>
        <v>7738</v>
      </c>
      <c r="F12" s="84">
        <f>'Ottelu 1'!E141+'Ottelu 2'!E147</f>
        <v>19</v>
      </c>
      <c r="G12" s="84">
        <f>'Ottelu 1'!J141+'Ottelu 2'!J147</f>
        <v>0</v>
      </c>
      <c r="H12" s="84">
        <f>'Ottelu 1'!L141+'Ottelu 2'!L147</f>
        <v>13</v>
      </c>
      <c r="I12" s="84">
        <f>'Ottelu 1'!M141+'Ottelu 2'!M147</f>
        <v>0</v>
      </c>
      <c r="J12" s="85">
        <f t="shared" ref="J12:J14" si="0">IF(D12=0,0,E12/D12)</f>
        <v>20.0987012987013</v>
      </c>
      <c r="K12" s="85">
        <f t="shared" ref="K12:K15" si="1">IF(D12=0,0,(H12+I12)/F12)</f>
        <v>0.68421052631578949</v>
      </c>
    </row>
    <row r="13" spans="1:14" ht="20.25" customHeight="1" x14ac:dyDescent="0.25">
      <c r="A13" s="68">
        <v>3</v>
      </c>
      <c r="B13" s="159" t="s">
        <v>96</v>
      </c>
      <c r="C13" s="284" t="s">
        <v>4</v>
      </c>
      <c r="D13" s="84">
        <f>'Ottelu 1'!D142+'Ottelu 2'!D144</f>
        <v>339</v>
      </c>
      <c r="E13" s="84">
        <f>'Ottelu 1'!H142+'Ottelu 2'!H144</f>
        <v>7155</v>
      </c>
      <c r="F13" s="84">
        <f>'Ottelu 1'!E142+'Ottelu 2'!E144</f>
        <v>17</v>
      </c>
      <c r="G13" s="84">
        <f>'Ottelu 1'!J142+'Ottelu 2'!J144</f>
        <v>0</v>
      </c>
      <c r="H13" s="84">
        <f>'Ottelu 1'!L142+'Ottelu 2'!L144</f>
        <v>24</v>
      </c>
      <c r="I13" s="84">
        <f>'Ottelu 1'!M142+'Ottelu 2'!M144</f>
        <v>0</v>
      </c>
      <c r="J13" s="85">
        <f t="shared" si="0"/>
        <v>21.106194690265486</v>
      </c>
      <c r="K13" s="85">
        <f t="shared" si="1"/>
        <v>1.411764705882353</v>
      </c>
    </row>
    <row r="14" spans="1:14" ht="20.25" customHeight="1" x14ac:dyDescent="0.25">
      <c r="A14" s="68">
        <v>4</v>
      </c>
      <c r="B14" s="159" t="s">
        <v>97</v>
      </c>
      <c r="C14" s="284"/>
      <c r="D14" s="84">
        <f>'Ottelu 1'!D143+'Ottelu 2'!D145</f>
        <v>390</v>
      </c>
      <c r="E14" s="84">
        <f>'Ottelu 1'!H143+'Ottelu 2'!H145</f>
        <v>8414</v>
      </c>
      <c r="F14" s="84">
        <f>'Ottelu 1'!E143+'Ottelu 2'!E145</f>
        <v>20</v>
      </c>
      <c r="G14" s="84">
        <f>'Ottelu 1'!J143+'Ottelu 2'!J145</f>
        <v>1</v>
      </c>
      <c r="H14" s="84">
        <f>'Ottelu 1'!L143+'Ottelu 2'!L145</f>
        <v>17</v>
      </c>
      <c r="I14" s="84">
        <f>'Ottelu 1'!M143+'Ottelu 2'!M145</f>
        <v>0</v>
      </c>
      <c r="J14" s="85">
        <f t="shared" si="0"/>
        <v>21.574358974358976</v>
      </c>
      <c r="K14" s="85">
        <f t="shared" si="1"/>
        <v>0.85</v>
      </c>
    </row>
    <row r="15" spans="1:14" ht="21" customHeight="1" x14ac:dyDescent="0.2">
      <c r="B15" s="385" t="s">
        <v>58</v>
      </c>
      <c r="C15" s="386"/>
      <c r="D15" s="86">
        <f t="shared" ref="D15:I15" si="2">SUM(D11:D14)</f>
        <v>1506</v>
      </c>
      <c r="E15" s="86">
        <f t="shared" si="2"/>
        <v>33606</v>
      </c>
      <c r="F15" s="86">
        <f t="shared" si="2"/>
        <v>78</v>
      </c>
      <c r="G15" s="376">
        <f t="shared" si="2"/>
        <v>4</v>
      </c>
      <c r="H15" s="86">
        <f t="shared" si="2"/>
        <v>99</v>
      </c>
      <c r="I15" s="86">
        <f t="shared" si="2"/>
        <v>1</v>
      </c>
      <c r="J15" s="85">
        <f t="shared" ref="J15" si="3">IF(D15=0,0,E15/D15)</f>
        <v>22.314741035856574</v>
      </c>
      <c r="K15" s="85">
        <f t="shared" si="1"/>
        <v>1.2820512820512822</v>
      </c>
    </row>
    <row r="16" spans="1:14" ht="12.75" customHeight="1" x14ac:dyDescent="0.2">
      <c r="D16" s="14"/>
      <c r="E16" s="87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4" customHeight="1" x14ac:dyDescent="0.25">
      <c r="B17" s="384" t="s">
        <v>93</v>
      </c>
      <c r="C17" s="384"/>
      <c r="D17" s="384"/>
      <c r="E17" s="384"/>
      <c r="F17" s="384"/>
      <c r="G17" s="264"/>
      <c r="H17" s="264"/>
      <c r="I17" s="264"/>
      <c r="J17" s="14"/>
      <c r="K17" s="14"/>
      <c r="L17" s="14"/>
      <c r="M17" s="14"/>
      <c r="N17" s="14"/>
    </row>
    <row r="18" spans="1:14" ht="13.5" customHeight="1" x14ac:dyDescent="0.2">
      <c r="B18" s="88" t="s">
        <v>64</v>
      </c>
      <c r="C18" s="88"/>
      <c r="D18" s="87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7" customHeight="1" x14ac:dyDescent="0.25">
      <c r="B19" s="81" t="s">
        <v>86</v>
      </c>
      <c r="C19" s="260" t="s">
        <v>82</v>
      </c>
      <c r="D19" s="82" t="s">
        <v>10</v>
      </c>
      <c r="E19" s="82" t="s">
        <v>3</v>
      </c>
      <c r="F19" s="83" t="s">
        <v>32</v>
      </c>
      <c r="G19" s="83" t="s">
        <v>31</v>
      </c>
      <c r="H19" s="83" t="s">
        <v>33</v>
      </c>
      <c r="I19" s="82" t="s">
        <v>35</v>
      </c>
      <c r="J19" s="82" t="s">
        <v>24</v>
      </c>
      <c r="K19" s="83" t="s">
        <v>34</v>
      </c>
    </row>
    <row r="20" spans="1:14" ht="20.25" customHeight="1" x14ac:dyDescent="0.25">
      <c r="A20" s="68">
        <v>1</v>
      </c>
      <c r="B20" s="258" t="s">
        <v>100</v>
      </c>
      <c r="C20" s="340"/>
      <c r="D20" s="84">
        <f>'Ottelu 1'!D144+'Ottelu 2'!D140</f>
        <v>406</v>
      </c>
      <c r="E20" s="84">
        <f>'Ottelu 1'!H144+'Ottelu 2'!H140</f>
        <v>9419</v>
      </c>
      <c r="F20" s="84">
        <f>'Ottelu 1'!E144+'Ottelu 2'!E140</f>
        <v>20</v>
      </c>
      <c r="G20" s="84">
        <f>'Ottelu 1'!J144+'Ottelu 2'!J140</f>
        <v>2</v>
      </c>
      <c r="H20" s="84">
        <f>'Ottelu 1'!L144+'Ottelu 2'!L140</f>
        <v>29</v>
      </c>
      <c r="I20" s="84">
        <f>'Ottelu 1'!M144+'Ottelu 2'!M140</f>
        <v>0</v>
      </c>
      <c r="J20" s="85">
        <f>IF(D20=0,0,E20/D20)</f>
        <v>23.199507389162562</v>
      </c>
      <c r="K20" s="85">
        <f>IF(D20=0,0,(H20+I20)/F20)</f>
        <v>1.45</v>
      </c>
    </row>
    <row r="21" spans="1:14" ht="20.25" customHeight="1" x14ac:dyDescent="0.25">
      <c r="A21" s="68">
        <v>2</v>
      </c>
      <c r="B21" s="159" t="s">
        <v>101</v>
      </c>
      <c r="C21" s="284"/>
      <c r="D21" s="84">
        <f>'Ottelu 1'!D145+'Ottelu 2'!D141</f>
        <v>387</v>
      </c>
      <c r="E21" s="84">
        <f>'Ottelu 1'!H145+'Ottelu 2'!H141</f>
        <v>10195</v>
      </c>
      <c r="F21" s="84">
        <f>'Ottelu 1'!E145+'Ottelu 2'!E141</f>
        <v>21</v>
      </c>
      <c r="G21" s="84">
        <f>'Ottelu 1'!J145+'Ottelu 2'!J141</f>
        <v>4</v>
      </c>
      <c r="H21" s="84">
        <f>'Ottelu 1'!L145+'Ottelu 2'!L141</f>
        <v>45</v>
      </c>
      <c r="I21" s="84">
        <f>'Ottelu 1'!M145+'Ottelu 2'!M141</f>
        <v>1</v>
      </c>
      <c r="J21" s="85">
        <f t="shared" ref="J21:J24" si="4">IF(D21=0,0,E21/D21)</f>
        <v>26.343669250645995</v>
      </c>
      <c r="K21" s="85">
        <f t="shared" ref="K21:K24" si="5">IF(D21=0,0,(H21+I21)/F21)</f>
        <v>2.1904761904761907</v>
      </c>
    </row>
    <row r="22" spans="1:14" ht="20.25" customHeight="1" x14ac:dyDescent="0.25">
      <c r="A22" s="68">
        <v>3</v>
      </c>
      <c r="B22" s="159" t="s">
        <v>102</v>
      </c>
      <c r="C22" s="356" t="s">
        <v>4</v>
      </c>
      <c r="D22" s="84">
        <f>'Ottelu 1'!D146+'Ottelu 2'!D142</f>
        <v>338</v>
      </c>
      <c r="E22" s="84">
        <f>'Ottelu 1'!H146+'Ottelu 2'!H142</f>
        <v>8398</v>
      </c>
      <c r="F22" s="84">
        <f>'Ottelu 1'!E146+'Ottelu 2'!E142</f>
        <v>17</v>
      </c>
      <c r="G22" s="84">
        <f>'Ottelu 1'!J146+'Ottelu 2'!J142</f>
        <v>3</v>
      </c>
      <c r="H22" s="84">
        <f>'Ottelu 1'!L146+'Ottelu 2'!L142</f>
        <v>34</v>
      </c>
      <c r="I22" s="84">
        <f>'Ottelu 1'!M146+'Ottelu 2'!M142</f>
        <v>1</v>
      </c>
      <c r="J22" s="85">
        <f t="shared" si="4"/>
        <v>24.846153846153847</v>
      </c>
      <c r="K22" s="85">
        <f t="shared" si="5"/>
        <v>2.0588235294117645</v>
      </c>
    </row>
    <row r="23" spans="1:14" ht="20.25" customHeight="1" x14ac:dyDescent="0.25">
      <c r="A23" s="68">
        <v>4</v>
      </c>
      <c r="B23" s="159" t="s">
        <v>103</v>
      </c>
      <c r="C23" s="284"/>
      <c r="D23" s="84">
        <f>'Ottelu 1'!D147+'Ottelu 2'!D143</f>
        <v>402</v>
      </c>
      <c r="E23" s="84">
        <f>'Ottelu 1'!H147+'Ottelu 2'!H143</f>
        <v>9430</v>
      </c>
      <c r="F23" s="84">
        <f>'Ottelu 1'!E147+'Ottelu 2'!E143</f>
        <v>20</v>
      </c>
      <c r="G23" s="84">
        <f>'Ottelu 1'!J147+'Ottelu 2'!J143</f>
        <v>3</v>
      </c>
      <c r="H23" s="84">
        <f>'Ottelu 1'!L147+'Ottelu 2'!L143</f>
        <v>27</v>
      </c>
      <c r="I23" s="84">
        <f>'Ottelu 1'!M147+'Ottelu 2'!M143</f>
        <v>1</v>
      </c>
      <c r="J23" s="85">
        <f t="shared" si="4"/>
        <v>23.457711442786071</v>
      </c>
      <c r="K23" s="85">
        <f t="shared" si="5"/>
        <v>1.4</v>
      </c>
    </row>
    <row r="24" spans="1:14" ht="21" customHeight="1" x14ac:dyDescent="0.2">
      <c r="B24" s="385" t="s">
        <v>58</v>
      </c>
      <c r="C24" s="386"/>
      <c r="D24" s="86">
        <f t="shared" ref="D24:I24" si="6">SUM(D20:D23)</f>
        <v>1533</v>
      </c>
      <c r="E24" s="86">
        <f t="shared" si="6"/>
        <v>37442</v>
      </c>
      <c r="F24" s="86">
        <f t="shared" si="6"/>
        <v>78</v>
      </c>
      <c r="G24" s="376">
        <f t="shared" si="6"/>
        <v>12</v>
      </c>
      <c r="H24" s="86">
        <f t="shared" si="6"/>
        <v>135</v>
      </c>
      <c r="I24" s="86">
        <f t="shared" si="6"/>
        <v>3</v>
      </c>
      <c r="J24" s="85">
        <f t="shared" si="4"/>
        <v>24.424005218525767</v>
      </c>
      <c r="K24" s="85">
        <f t="shared" si="5"/>
        <v>1.7692307692307692</v>
      </c>
    </row>
    <row r="25" spans="1:14" ht="4.5" customHeight="1" x14ac:dyDescent="0.2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 x14ac:dyDescent="0.25">
      <c r="B26" s="252" t="s">
        <v>73</v>
      </c>
      <c r="C26" s="252"/>
      <c r="D26" s="89"/>
      <c r="E26" s="14"/>
      <c r="F26" s="253"/>
      <c r="G26" s="377" t="str">
        <f>"Yht "&amp;+G15+G24</f>
        <v>Yht 16</v>
      </c>
      <c r="H26" s="92" t="str">
        <f>IF(AND(G26=0,G26=16,), "VÄÄRÄ MÄÄRÄ VOITETTUJA PELEJÄ, TARKISTA OTTELUT"," ")</f>
        <v xml:space="preserve"> </v>
      </c>
      <c r="J26" s="14"/>
      <c r="K26" s="14"/>
      <c r="L26" s="14"/>
      <c r="M26" s="14"/>
      <c r="N26" s="14"/>
    </row>
    <row r="27" spans="1:14" ht="21" customHeight="1" x14ac:dyDescent="0.25">
      <c r="B27" s="81" t="s">
        <v>70</v>
      </c>
      <c r="C27" s="81"/>
      <c r="D27" s="89"/>
      <c r="E27" s="14"/>
      <c r="F27" s="90"/>
      <c r="G27" s="91"/>
      <c r="H27" s="92"/>
      <c r="J27" s="14"/>
      <c r="K27" s="14"/>
      <c r="L27" s="14"/>
      <c r="M27" s="14"/>
      <c r="N27" s="14"/>
    </row>
    <row r="28" spans="1:14" ht="21" customHeight="1" x14ac:dyDescent="0.3">
      <c r="B28" s="383" t="str">
        <f>CONCATENATE(B8," - ",B17,"      ",'Ottelu 1'!V22," - ",'Ottelu 1'!W22)</f>
        <v>Grönan DC 1 - Keski-Suomi Darts 1      1 - 7</v>
      </c>
      <c r="C28" s="383"/>
      <c r="D28" s="383"/>
      <c r="E28" s="383"/>
      <c r="F28" s="383"/>
      <c r="G28" s="93"/>
      <c r="H28" s="94"/>
      <c r="J28" s="14"/>
      <c r="K28" s="14"/>
      <c r="L28" s="14"/>
      <c r="M28" s="14"/>
      <c r="N28" s="14"/>
    </row>
    <row r="29" spans="1:14" ht="22.5" customHeight="1" x14ac:dyDescent="0.3">
      <c r="B29" s="383" t="str">
        <f>CONCATENATE(B8," - ",B17,"      ",'Ottelu 2'!X22," - ",'Ottelu 2'!V22)</f>
        <v>Grönan DC 1 - Keski-Suomi Darts 1      3 - 5</v>
      </c>
      <c r="C29" s="383"/>
      <c r="D29" s="383"/>
      <c r="E29" s="383"/>
      <c r="F29" s="383"/>
      <c r="G29" s="93"/>
      <c r="H29" s="249" t="s">
        <v>84</v>
      </c>
      <c r="I29" s="250"/>
      <c r="J29" s="248"/>
      <c r="K29" s="248"/>
      <c r="L29" s="14"/>
      <c r="M29" s="14"/>
      <c r="N29" s="14"/>
    </row>
    <row r="30" spans="1:14" ht="30.75" customHeight="1" x14ac:dyDescent="0.3">
      <c r="B30" s="158" t="s">
        <v>68</v>
      </c>
      <c r="C30" s="158"/>
      <c r="D30" s="157"/>
      <c r="E30" s="14"/>
      <c r="F30" s="93"/>
      <c r="G30" s="94"/>
      <c r="H30" s="95"/>
      <c r="J30" s="14"/>
      <c r="K30" s="14"/>
      <c r="L30" s="14"/>
      <c r="M30" s="14"/>
      <c r="N30" s="14"/>
    </row>
    <row r="31" spans="1:14" ht="39.75" customHeight="1" x14ac:dyDescent="0.25">
      <c r="B31" s="96" t="s">
        <v>2</v>
      </c>
      <c r="C31" s="96"/>
      <c r="D31" s="382" t="s">
        <v>98</v>
      </c>
      <c r="E31" s="382"/>
      <c r="F31" s="382"/>
      <c r="G31" s="382"/>
      <c r="H31" s="382"/>
      <c r="I31" s="14"/>
      <c r="J31" s="14"/>
      <c r="K31" s="14"/>
      <c r="L31" s="14"/>
      <c r="M31" s="14"/>
      <c r="N31" s="14"/>
    </row>
    <row r="32" spans="1:14" ht="24" customHeight="1" x14ac:dyDescent="0.25">
      <c r="B32" s="96" t="s">
        <v>37</v>
      </c>
      <c r="C32" s="96"/>
      <c r="D32" s="381" t="s">
        <v>99</v>
      </c>
      <c r="E32" s="381"/>
      <c r="F32" s="381"/>
      <c r="G32" s="381"/>
      <c r="H32" s="381"/>
      <c r="I32" s="14"/>
    </row>
  </sheetData>
  <sheetProtection algorithmName="SHA-512" hashValue="Gs0vxEGZKy8kxTD3NXo0vma6Eiy/jQXtZMlvuveKdUBJn16g6t2c3VN89LAk+17vmZBje3lwZjguRnfytrROEQ==" saltValue="oM4GfFdkjN2wBvXS7M60tQ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0">
    <mergeCell ref="C6:F6"/>
    <mergeCell ref="D32:H32"/>
    <mergeCell ref="D31:H31"/>
    <mergeCell ref="B28:F28"/>
    <mergeCell ref="B29:F29"/>
    <mergeCell ref="B8:F8"/>
    <mergeCell ref="B17:F17"/>
    <mergeCell ref="B15:C15"/>
    <mergeCell ref="B24:C24"/>
    <mergeCell ref="C7:E7"/>
  </mergeCells>
  <phoneticPr fontId="0" type="noConversion"/>
  <conditionalFormatting sqref="F26">
    <cfRule type="cellIs" dxfId="29" priority="1" operator="notEqual">
      <formula>$F$26</formula>
    </cfRule>
  </conditionalFormatting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86" orientation="portrait" r:id="rId2"/>
  <headerFooter alignWithMargins="0">
    <oddFooter>&amp;L&amp;D</oddFooter>
  </headerFooter>
  <ignoredErrors>
    <ignoredError sqref="J16:K19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BC176"/>
  <sheetViews>
    <sheetView showGridLines="0" zoomScale="115" zoomScaleNormal="115" zoomScalePageLayoutView="55" workbookViewId="0">
      <selection activeCell="M126" sqref="M126"/>
    </sheetView>
  </sheetViews>
  <sheetFormatPr defaultColWidth="9.140625" defaultRowHeight="20.25" x14ac:dyDescent="0.3"/>
  <cols>
    <col min="1" max="1" width="2.42578125" style="2" customWidth="1"/>
    <col min="2" max="2" width="5.7109375" style="1" customWidth="1"/>
    <col min="3" max="3" width="7" style="1" customWidth="1"/>
    <col min="4" max="5" width="6.5703125" style="1" customWidth="1"/>
    <col min="6" max="6" width="6.5703125" style="209" customWidth="1"/>
    <col min="7" max="7" width="6.5703125" style="1" customWidth="1"/>
    <col min="8" max="8" width="7" style="266" customWidth="1"/>
    <col min="9" max="9" width="2.7109375" style="206" customWidth="1"/>
    <col min="10" max="10" width="2.28515625" style="213" customWidth="1"/>
    <col min="11" max="11" width="3.85546875" style="206" customWidth="1"/>
    <col min="12" max="13" width="6.5703125" style="206" customWidth="1"/>
    <col min="14" max="14" width="6.5703125" style="1" customWidth="1"/>
    <col min="15" max="15" width="6.5703125" style="209" customWidth="1"/>
    <col min="16" max="16" width="6.7109375" style="1" customWidth="1"/>
    <col min="17" max="17" width="2.42578125" style="24" customWidth="1"/>
    <col min="18" max="18" width="3.5703125" style="266" customWidth="1"/>
    <col min="19" max="19" width="2.140625" style="266" customWidth="1"/>
    <col min="20" max="20" width="3.85546875" style="24" customWidth="1"/>
    <col min="21" max="21" width="2.28515625" style="24" customWidth="1"/>
    <col min="22" max="22" width="6.42578125" style="210" customWidth="1"/>
    <col min="23" max="23" width="3.85546875" style="24" customWidth="1"/>
    <col min="24" max="26" width="3.85546875" style="24" bestFit="1" customWidth="1"/>
    <col min="27" max="28" width="3.85546875" style="24" customWidth="1"/>
    <col min="29" max="29" width="2.5703125" style="24" customWidth="1"/>
    <col min="30" max="31" width="4.28515625" style="24" customWidth="1"/>
    <col min="32" max="32" width="4.42578125" style="24" customWidth="1"/>
    <col min="33" max="33" width="3.85546875" style="24" customWidth="1"/>
    <col min="34" max="36" width="3.7109375" style="24" customWidth="1"/>
    <col min="37" max="37" width="2.28515625" style="24" customWidth="1"/>
    <col min="38" max="38" width="3.28515625" style="4" customWidth="1"/>
    <col min="39" max="39" width="3.140625" style="4" customWidth="1"/>
    <col min="40" max="41" width="11" style="4" customWidth="1"/>
    <col min="42" max="46" width="9.140625" style="266" customWidth="1"/>
    <col min="47" max="55" width="9.140625" style="24"/>
    <col min="56" max="16384" width="9.140625" style="1"/>
  </cols>
  <sheetData>
    <row r="1" spans="1:55" s="2" customFormat="1" ht="54.75" customHeight="1" x14ac:dyDescent="1">
      <c r="B1" s="97"/>
      <c r="C1" s="97"/>
      <c r="D1" s="97"/>
      <c r="E1" s="97"/>
      <c r="F1" s="97"/>
      <c r="G1" s="97"/>
      <c r="H1" s="279"/>
      <c r="I1" s="9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184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279"/>
      <c r="AT1" s="279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30" customHeight="1" x14ac:dyDescent="1">
      <c r="B2" s="97"/>
      <c r="C2" s="97"/>
      <c r="D2" s="97"/>
      <c r="E2" s="97"/>
      <c r="F2" s="97"/>
      <c r="G2" s="97"/>
      <c r="H2" s="279"/>
      <c r="I2" s="97"/>
      <c r="J2" s="98"/>
      <c r="K2" s="37"/>
      <c r="L2" s="37"/>
      <c r="M2" s="99"/>
      <c r="N2" s="69" t="s">
        <v>67</v>
      </c>
      <c r="O2" s="1"/>
      <c r="Q2" s="178"/>
      <c r="R2" s="313"/>
      <c r="S2" s="305"/>
      <c r="T2" s="388">
        <f>tilasto!C7</f>
        <v>44541</v>
      </c>
      <c r="U2" s="388"/>
      <c r="V2" s="388"/>
      <c r="W2" s="388"/>
      <c r="X2" s="388"/>
      <c r="Y2" s="1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296"/>
      <c r="AM2" s="296"/>
      <c r="AN2" s="296"/>
      <c r="AO2" s="296"/>
    </row>
    <row r="3" spans="1:55" s="2" customFormat="1" ht="20.25" customHeight="1" x14ac:dyDescent="0.3">
      <c r="B3" s="42"/>
      <c r="C3" s="42"/>
      <c r="D3" s="42"/>
      <c r="E3" s="42"/>
      <c r="F3" s="100"/>
      <c r="G3" s="42"/>
      <c r="H3" s="315"/>
      <c r="I3" s="43"/>
      <c r="J3" s="226"/>
      <c r="K3" s="227"/>
      <c r="L3" s="227"/>
      <c r="M3" s="205" t="s">
        <v>90</v>
      </c>
      <c r="N3" s="43"/>
      <c r="O3" s="43"/>
      <c r="P3" s="43"/>
      <c r="Q3" s="228"/>
      <c r="R3" s="225">
        <f>IF(tilasto!C5=0,"",tilasto!C5)</f>
        <v>3</v>
      </c>
      <c r="S3" s="229" t="str">
        <f>"Pelipaikka: "&amp;tilasto!C6</f>
        <v>Pelipaikka: Pub Grönan, Hanko</v>
      </c>
      <c r="T3" s="229"/>
      <c r="U3" s="229"/>
      <c r="V3" s="229"/>
      <c r="W3" s="229"/>
      <c r="X3" s="229"/>
      <c r="Y3" s="106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279"/>
      <c r="AT3" s="279"/>
      <c r="AU3" s="176"/>
      <c r="AV3" s="176"/>
      <c r="AW3" s="176"/>
      <c r="AX3" s="176"/>
      <c r="AY3" s="176"/>
      <c r="AZ3" s="176"/>
      <c r="BA3" s="176"/>
      <c r="BB3" s="176"/>
      <c r="BC3" s="176"/>
    </row>
    <row r="4" spans="1:55" s="2" customFormat="1" ht="14.25" hidden="1" customHeight="1" x14ac:dyDescent="0.3">
      <c r="C4" s="31"/>
      <c r="D4" s="31"/>
      <c r="E4" s="31"/>
      <c r="G4" s="28"/>
      <c r="H4" s="316"/>
      <c r="J4" s="54"/>
      <c r="K4" s="75"/>
      <c r="P4" s="251"/>
      <c r="Q4" s="176"/>
      <c r="R4" s="279"/>
      <c r="S4" s="279"/>
      <c r="T4" s="176"/>
      <c r="U4" s="176"/>
      <c r="V4" s="185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5"/>
      <c r="AM4" s="5"/>
      <c r="AN4" s="5"/>
      <c r="AO4" s="5"/>
      <c r="AP4" s="279"/>
      <c r="AQ4" s="279"/>
      <c r="AR4" s="279"/>
      <c r="AS4" s="279"/>
      <c r="AT4" s="279"/>
      <c r="AU4" s="176"/>
      <c r="AV4" s="176"/>
      <c r="AW4" s="176"/>
      <c r="AX4" s="176"/>
      <c r="AY4" s="176"/>
      <c r="AZ4" s="176"/>
      <c r="BA4" s="176"/>
      <c r="BB4" s="176"/>
      <c r="BC4" s="176"/>
    </row>
    <row r="5" spans="1:55" ht="9.75" customHeight="1" x14ac:dyDescent="0.3">
      <c r="B5" s="2"/>
      <c r="C5" s="2"/>
      <c r="F5" s="60"/>
      <c r="G5" s="51"/>
      <c r="H5" s="317"/>
      <c r="I5" s="50"/>
      <c r="J5" s="55"/>
      <c r="O5" s="242"/>
      <c r="P5" s="2"/>
      <c r="Q5" s="176"/>
      <c r="R5" s="279"/>
      <c r="S5" s="279"/>
      <c r="T5" s="176"/>
      <c r="U5" s="176"/>
      <c r="V5" s="185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4" t="s">
        <v>72</v>
      </c>
    </row>
    <row r="6" spans="1:55" ht="29.25" customHeight="1" x14ac:dyDescent="0.3">
      <c r="A6" s="43"/>
      <c r="B6" s="53" t="str">
        <f>IF(tilasto!B8=0,"",tilasto!B8)</f>
        <v>Grönan DC 1</v>
      </c>
      <c r="C6" s="53"/>
      <c r="D6" s="53"/>
      <c r="E6" s="53"/>
      <c r="F6" s="53"/>
      <c r="G6" s="53"/>
      <c r="H6" s="306"/>
      <c r="I6" s="61"/>
      <c r="J6" s="61"/>
      <c r="K6" s="61"/>
      <c r="L6" s="61"/>
      <c r="M6" s="61"/>
      <c r="N6" s="61"/>
      <c r="O6" s="53" t="str">
        <f>IF(tilasto!B17=0,"",tilasto!B17)</f>
        <v>Keski-Suomi Darts 1</v>
      </c>
      <c r="P6" s="155"/>
      <c r="Q6" s="197"/>
      <c r="R6" s="306"/>
      <c r="S6" s="306"/>
      <c r="T6" s="197"/>
      <c r="U6" s="197"/>
      <c r="V6" s="198"/>
      <c r="W6" s="197"/>
      <c r="X6" s="197"/>
      <c r="Y6" s="197"/>
      <c r="Z6" s="197"/>
      <c r="AA6" s="197"/>
      <c r="AB6" s="197"/>
      <c r="AC6" s="197"/>
      <c r="AD6" s="197"/>
      <c r="AE6" s="197"/>
      <c r="AF6" s="187"/>
      <c r="AG6" s="187"/>
      <c r="AH6" s="187"/>
      <c r="AI6" s="187"/>
      <c r="AJ6" s="187"/>
      <c r="AK6" s="180"/>
      <c r="AL6" s="298"/>
      <c r="AM6" s="298"/>
      <c r="AN6" s="298"/>
      <c r="AO6" s="298"/>
      <c r="AR6" s="267"/>
      <c r="AS6" s="267"/>
      <c r="AT6" s="267"/>
      <c r="AU6" s="25"/>
      <c r="AV6" s="25"/>
      <c r="AW6" s="25"/>
    </row>
    <row r="7" spans="1:55" ht="15" customHeight="1" x14ac:dyDescent="0.3">
      <c r="B7" s="40" t="s">
        <v>38</v>
      </c>
      <c r="C7" s="2"/>
      <c r="D7" s="2"/>
      <c r="E7" s="2"/>
      <c r="F7" s="242"/>
      <c r="G7" s="2"/>
      <c r="H7" s="279"/>
      <c r="I7" s="2"/>
      <c r="J7" s="1"/>
      <c r="K7" s="2"/>
      <c r="L7" s="2"/>
      <c r="M7" s="2"/>
      <c r="O7" s="40" t="s">
        <v>65</v>
      </c>
      <c r="P7" s="2"/>
      <c r="Q7" s="176"/>
      <c r="R7" s="279"/>
      <c r="S7" s="279"/>
      <c r="T7" s="176"/>
      <c r="U7" s="176"/>
      <c r="V7" s="18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R7" s="267"/>
      <c r="AS7" s="267"/>
      <c r="AT7" s="267"/>
      <c r="AU7" s="25"/>
      <c r="AV7" s="25"/>
      <c r="AW7" s="25"/>
    </row>
    <row r="8" spans="1:55" ht="11.25" hidden="1" customHeight="1" x14ac:dyDescent="0.3">
      <c r="B8" s="40"/>
      <c r="C8" s="2"/>
      <c r="D8" s="2"/>
      <c r="E8" s="2"/>
      <c r="F8" s="242"/>
      <c r="G8" s="2"/>
      <c r="H8" s="279"/>
      <c r="I8" s="2"/>
      <c r="J8" s="1"/>
      <c r="K8" s="2"/>
      <c r="L8" s="2"/>
      <c r="M8" s="2"/>
      <c r="O8" s="241"/>
      <c r="P8" s="2"/>
      <c r="Q8" s="176"/>
      <c r="R8" s="279"/>
      <c r="S8" s="279"/>
      <c r="T8" s="176"/>
      <c r="U8" s="176"/>
      <c r="V8" s="185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R8" s="267"/>
      <c r="AS8" s="267"/>
      <c r="AU8" s="25"/>
      <c r="AV8" s="25"/>
      <c r="AW8" s="25"/>
    </row>
    <row r="9" spans="1:55" ht="27.75" customHeight="1" x14ac:dyDescent="0.25">
      <c r="B9" s="203">
        <v>1</v>
      </c>
      <c r="C9" s="389" t="str">
        <f>IF(tilasto!B11="","",tilasto!B11)</f>
        <v>Högström Sami</v>
      </c>
      <c r="D9" s="390"/>
      <c r="E9" s="390"/>
      <c r="F9" s="390"/>
      <c r="G9" s="390"/>
      <c r="H9" s="390"/>
      <c r="I9" s="390"/>
      <c r="J9" s="390"/>
      <c r="K9" s="390"/>
      <c r="L9" s="390"/>
      <c r="M9" s="208"/>
      <c r="N9" s="243"/>
      <c r="O9" s="203">
        <v>1</v>
      </c>
      <c r="P9" s="403" t="str">
        <f>IF(tilasto!B20="","",tilasto!B20)</f>
        <v>Takkinen Uki</v>
      </c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29"/>
      <c r="AG9" s="430"/>
      <c r="AH9" s="201"/>
      <c r="AJ9" s="201"/>
      <c r="AK9" s="202"/>
      <c r="AR9" s="267"/>
      <c r="AS9" s="267"/>
      <c r="AT9" s="267"/>
      <c r="AU9" s="25"/>
      <c r="AV9" s="25"/>
      <c r="AW9" s="25"/>
    </row>
    <row r="10" spans="1:55" ht="27.75" customHeight="1" x14ac:dyDescent="0.25">
      <c r="B10" s="204">
        <v>2</v>
      </c>
      <c r="C10" s="389" t="str">
        <f>IF(tilasto!B12="","",tilasto!B12)</f>
        <v>Ek Matti</v>
      </c>
      <c r="D10" s="390"/>
      <c r="E10" s="390"/>
      <c r="F10" s="390"/>
      <c r="G10" s="390"/>
      <c r="H10" s="390"/>
      <c r="I10" s="390"/>
      <c r="J10" s="390"/>
      <c r="K10" s="390"/>
      <c r="L10" s="390"/>
      <c r="M10" s="208"/>
      <c r="N10" s="243"/>
      <c r="O10" s="203">
        <v>2</v>
      </c>
      <c r="P10" s="403" t="str">
        <f>IF(tilasto!B21="","",tilasto!B21)</f>
        <v>Finnilä Pauli</v>
      </c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29"/>
      <c r="AG10" s="430"/>
      <c r="AH10" s="201"/>
      <c r="AI10" s="201"/>
      <c r="AJ10" s="201"/>
      <c r="AK10" s="202"/>
      <c r="AR10" s="267"/>
      <c r="AS10" s="267"/>
      <c r="AT10" s="267"/>
      <c r="AU10" s="25"/>
      <c r="AV10" s="25"/>
      <c r="AW10" s="25"/>
    </row>
    <row r="11" spans="1:55" ht="27.75" customHeight="1" x14ac:dyDescent="0.25">
      <c r="B11" s="204">
        <v>3</v>
      </c>
      <c r="C11" s="389" t="str">
        <f>IF(tilasto!B13="","",tilasto!B13)</f>
        <v>Kinnunen Tomi</v>
      </c>
      <c r="D11" s="390"/>
      <c r="E11" s="390"/>
      <c r="F11" s="390"/>
      <c r="G11" s="390"/>
      <c r="H11" s="390"/>
      <c r="I11" s="390"/>
      <c r="J11" s="390"/>
      <c r="K11" s="390"/>
      <c r="L11" s="390"/>
      <c r="M11" s="208"/>
      <c r="N11" s="243"/>
      <c r="O11" s="203">
        <v>3</v>
      </c>
      <c r="P11" s="403" t="str">
        <f>IF(tilasto!B22="","",tilasto!B22)</f>
        <v>Viinikka Veijo</v>
      </c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29"/>
      <c r="AG11" s="430"/>
      <c r="AH11" s="201"/>
      <c r="AI11" s="201"/>
      <c r="AJ11" s="201"/>
      <c r="AK11" s="202"/>
      <c r="AR11" s="267"/>
      <c r="AS11" s="267"/>
      <c r="AT11" s="267"/>
      <c r="AU11" s="25"/>
      <c r="AV11" s="25"/>
      <c r="AW11" s="25"/>
    </row>
    <row r="12" spans="1:55" ht="27.75" customHeight="1" x14ac:dyDescent="0.25">
      <c r="B12" s="203">
        <v>4</v>
      </c>
      <c r="C12" s="389" t="str">
        <f>IF(tilasto!B14="","",tilasto!B14)</f>
        <v>Selenius Peter</v>
      </c>
      <c r="D12" s="390"/>
      <c r="E12" s="390"/>
      <c r="F12" s="390"/>
      <c r="G12" s="390"/>
      <c r="H12" s="390"/>
      <c r="I12" s="390"/>
      <c r="J12" s="390"/>
      <c r="K12" s="390"/>
      <c r="L12" s="390"/>
      <c r="M12" s="208"/>
      <c r="N12" s="2"/>
      <c r="O12" s="204">
        <v>4</v>
      </c>
      <c r="P12" s="403" t="str">
        <f>IF(tilasto!B23="","",tilasto!B23)</f>
        <v>Hyttinen Pasi</v>
      </c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29"/>
      <c r="AG12" s="430"/>
      <c r="AH12" s="201"/>
      <c r="AI12" s="201"/>
      <c r="AJ12" s="201"/>
      <c r="AK12" s="202"/>
      <c r="AR12" s="267"/>
      <c r="AS12" s="267"/>
      <c r="AT12" s="267"/>
      <c r="AU12" s="25"/>
      <c r="AV12" s="25"/>
      <c r="AW12" s="25"/>
    </row>
    <row r="13" spans="1:55" ht="38.25" customHeight="1" x14ac:dyDescent="0.3">
      <c r="A13" s="349" t="str">
        <f>CONCATENATE(B6," aloittaa x:llä merkityt ottelut")</f>
        <v>Grönan DC 1 aloittaa x:llä merkityt ottelut</v>
      </c>
      <c r="B13" s="2"/>
      <c r="C13" s="277"/>
      <c r="D13" s="277"/>
      <c r="E13" s="277"/>
      <c r="F13" s="242"/>
      <c r="G13" s="2"/>
      <c r="H13" s="2" t="s">
        <v>57</v>
      </c>
      <c r="I13" s="37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189"/>
      <c r="W13" s="188"/>
      <c r="X13" s="188"/>
      <c r="Y13" s="188"/>
      <c r="Z13" s="188"/>
      <c r="AA13" s="188"/>
      <c r="AB13" s="188"/>
      <c r="AC13" s="246"/>
      <c r="AD13" s="405"/>
      <c r="AE13" s="405"/>
      <c r="AF13" s="405"/>
      <c r="AG13" s="406"/>
      <c r="AH13" s="406"/>
      <c r="AI13" s="406"/>
      <c r="AJ13" s="406"/>
      <c r="AK13" s="406"/>
      <c r="AL13" s="5"/>
      <c r="AM13" s="5"/>
      <c r="AN13" s="5"/>
      <c r="AR13" s="267"/>
      <c r="AS13" s="267"/>
      <c r="AT13" s="344"/>
      <c r="AU13" s="25"/>
      <c r="AV13" s="25"/>
      <c r="AW13" s="25"/>
    </row>
    <row r="14" spans="1:55" ht="30" customHeight="1" x14ac:dyDescent="0.3">
      <c r="A14" s="32" t="s">
        <v>4</v>
      </c>
      <c r="B14" s="33" t="s">
        <v>41</v>
      </c>
      <c r="C14" s="407" t="str">
        <f>IF(tilasto!B11=0,"",tilasto!B11)</f>
        <v>Högström Sami</v>
      </c>
      <c r="D14" s="407"/>
      <c r="E14" s="407"/>
      <c r="F14" s="407"/>
      <c r="G14" s="407"/>
      <c r="H14" s="368">
        <f>IF(C37=0,"",SUM(E37:E43)/SUM(C37:C43))</f>
        <v>26.631578947368421</v>
      </c>
      <c r="I14" s="19" t="s">
        <v>5</v>
      </c>
      <c r="J14" s="407" t="str">
        <f>IF(tilasto!B21=0,"",tilasto!B21)</f>
        <v>Finnilä Pauli</v>
      </c>
      <c r="K14" s="407"/>
      <c r="L14" s="407"/>
      <c r="M14" s="407"/>
      <c r="N14" s="407"/>
      <c r="O14" s="408"/>
      <c r="P14" s="368">
        <f>IF(L37=0,"",SUM(N37:N43)/SUM(L37:L43))</f>
        <v>28.336633663366335</v>
      </c>
      <c r="Q14" s="17"/>
      <c r="R14" s="372">
        <f t="shared" ref="R14:R21" si="0">IF(C14="","",COUNT(V14:AB14))</f>
        <v>2</v>
      </c>
      <c r="S14" s="330" t="s">
        <v>5</v>
      </c>
      <c r="T14" s="372">
        <f t="shared" ref="T14:T21" si="1">IF(J14&lt;&gt;"",COUNT(AD14:AJ14),"")</f>
        <v>4</v>
      </c>
      <c r="U14" s="374" t="s">
        <v>6</v>
      </c>
      <c r="V14" s="370">
        <f>IF(E37=501,C37,IF(AM14="l",1,""))</f>
        <v>22</v>
      </c>
      <c r="W14" s="370" t="str">
        <f>IF(E38=501,C38,IF(AM14="l",1,""))</f>
        <v/>
      </c>
      <c r="X14" s="370" t="str">
        <f>IF(E39=501,C39,IF(AM14="l",1,""))</f>
        <v/>
      </c>
      <c r="Y14" s="370" t="str">
        <f>IF(E40=501,C40,IF(AM14="l",1,""))</f>
        <v/>
      </c>
      <c r="Z14" s="370">
        <f>IF(E41=501,C41,"")</f>
        <v>16</v>
      </c>
      <c r="AA14" s="370" t="str">
        <f>IF(E42=501,C42,"")</f>
        <v/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>
        <f>IF(N38=501,L38,IF(AL14="l",1,""))</f>
        <v>20</v>
      </c>
      <c r="AF14" s="370">
        <f>IF(N39=501,L39,IF(AL14="l",1,""))</f>
        <v>15</v>
      </c>
      <c r="AG14" s="370">
        <f>IF(N40=501,L40,IF(AL14="l",1,""))</f>
        <v>15</v>
      </c>
      <c r="AH14" s="370" t="str">
        <f>IF(N41=501,L41,"")</f>
        <v/>
      </c>
      <c r="AI14" s="370">
        <f>IF(N42=501,L42,"")</f>
        <v>15</v>
      </c>
      <c r="AJ14" s="370" t="str">
        <f>IF(N43=501,L43,"")</f>
        <v/>
      </c>
      <c r="AK14" s="375" t="s">
        <v>7</v>
      </c>
      <c r="AL14" s="299">
        <f>H35</f>
        <v>0</v>
      </c>
      <c r="AM14" s="299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  <c r="AP14" s="24"/>
      <c r="AQ14" s="24"/>
      <c r="AR14" s="24"/>
      <c r="AS14" s="25"/>
      <c r="AT14" s="24"/>
      <c r="AV14" s="25"/>
    </row>
    <row r="15" spans="1:55" ht="30" customHeight="1" x14ac:dyDescent="0.3">
      <c r="A15" s="32"/>
      <c r="B15" s="33" t="s">
        <v>42</v>
      </c>
      <c r="C15" s="409" t="str">
        <f>IF(tilasto!B12=0,"",tilasto!B12)</f>
        <v>Ek Matti</v>
      </c>
      <c r="D15" s="409"/>
      <c r="E15" s="409"/>
      <c r="F15" s="409"/>
      <c r="G15" s="409"/>
      <c r="H15" s="368">
        <f>IF(C49=0,"",SUM(E49:E55)/SUM(C49:C55))</f>
        <v>20.155405405405407</v>
      </c>
      <c r="I15" s="19" t="s">
        <v>5</v>
      </c>
      <c r="J15" s="407" t="str">
        <f>IF(tilasto!B20=0,"",tilasto!B20)</f>
        <v>Takkinen Uki</v>
      </c>
      <c r="K15" s="407"/>
      <c r="L15" s="407"/>
      <c r="M15" s="407"/>
      <c r="N15" s="407"/>
      <c r="O15" s="408"/>
      <c r="P15" s="368">
        <f>IF(L49=0,"",SUM(N49:N55)/SUM(L49:L55))</f>
        <v>23.059602649006621</v>
      </c>
      <c r="Q15" s="17"/>
      <c r="R15" s="372">
        <f t="shared" si="0"/>
        <v>3</v>
      </c>
      <c r="S15" s="330" t="s">
        <v>5</v>
      </c>
      <c r="T15" s="372">
        <f t="shared" si="1"/>
        <v>4</v>
      </c>
      <c r="U15" s="374" t="s">
        <v>6</v>
      </c>
      <c r="V15" s="370">
        <f>IF(E49=501,C49,IF(AM15="l",1,""))</f>
        <v>35</v>
      </c>
      <c r="W15" s="370" t="str">
        <f>IF(E50=501,C50,IF(AM15="l",1,""))</f>
        <v/>
      </c>
      <c r="X15" s="370">
        <f>IF(E51=501,C51,IF(AM15="l",1,""))</f>
        <v>20</v>
      </c>
      <c r="Y15" s="370">
        <f>IF(E52=501,C52,IF(AM15="l",1,""))</f>
        <v>24</v>
      </c>
      <c r="Z15" s="370" t="str">
        <f>IF(E53=501,C53,"")</f>
        <v/>
      </c>
      <c r="AA15" s="370" t="str">
        <f>IF(E54=501,C54,"")</f>
        <v/>
      </c>
      <c r="AB15" s="370" t="str">
        <f>IF(E55=501,C55,"")</f>
        <v/>
      </c>
      <c r="AC15" s="44" t="s">
        <v>5</v>
      </c>
      <c r="AD15" s="370" t="str">
        <f>IF(N49=501,L49,IF(AL15="l",1,""))</f>
        <v/>
      </c>
      <c r="AE15" s="370">
        <f>IF(N50=501,L50,IF(AL15="l",1,""))</f>
        <v>21</v>
      </c>
      <c r="AF15" s="370" t="str">
        <f>IF(N51=501,L51,IF(AL15="l",1,""))</f>
        <v/>
      </c>
      <c r="AG15" s="370" t="str">
        <f>IF(N52=501,L52,IF(AL15="l",1,""))</f>
        <v/>
      </c>
      <c r="AH15" s="370">
        <f>IF(N53=501,L53,"")</f>
        <v>18</v>
      </c>
      <c r="AI15" s="370">
        <f>IF(N54=501,L54,"")</f>
        <v>14</v>
      </c>
      <c r="AJ15" s="370">
        <f>IF(N55=501,L55,"")</f>
        <v>20</v>
      </c>
      <c r="AK15" s="375" t="s">
        <v>7</v>
      </c>
      <c r="AL15" s="299">
        <f>H47</f>
        <v>0</v>
      </c>
      <c r="AM15" s="299">
        <f>I47</f>
        <v>0</v>
      </c>
      <c r="AN15" s="5" t="str">
        <f t="shared" ref="AN15:AN21" si="2">IF(C15&lt;&gt;"",IF(J15&lt;&gt;"","Ok","-"),"-")</f>
        <v>Ok</v>
      </c>
      <c r="AO15" s="4" t="str">
        <f t="shared" ref="AO15:AO21" si="3">IF(AND(AN15="ok",R15&lt;3),IF(AND(AN15="ok",T15&lt;3),"ei pelitietoja","-"),"-")</f>
        <v>-</v>
      </c>
      <c r="AP15" s="24"/>
      <c r="AQ15" s="24"/>
      <c r="AR15" s="24"/>
      <c r="AS15" s="24"/>
      <c r="AT15" s="24"/>
    </row>
    <row r="16" spans="1:55" ht="30" customHeight="1" x14ac:dyDescent="0.3">
      <c r="A16" s="32" t="s">
        <v>4</v>
      </c>
      <c r="B16" s="33" t="s">
        <v>43</v>
      </c>
      <c r="C16" s="409" t="str">
        <f>IF(tilasto!B13=0,"",tilasto!B13)</f>
        <v>Kinnunen Tomi</v>
      </c>
      <c r="D16" s="409"/>
      <c r="E16" s="409"/>
      <c r="F16" s="409"/>
      <c r="G16" s="409"/>
      <c r="H16" s="368">
        <f>IF(C61=0,"",SUM(E61:E67)/SUM(C61:C67))</f>
        <v>20.666666666666668</v>
      </c>
      <c r="I16" s="19" t="s">
        <v>5</v>
      </c>
      <c r="J16" s="407" t="str">
        <f>IF(tilasto!B23=0,"",tilasto!B23)</f>
        <v>Hyttinen Pasi</v>
      </c>
      <c r="K16" s="407"/>
      <c r="L16" s="407"/>
      <c r="M16" s="407"/>
      <c r="N16" s="407"/>
      <c r="O16" s="408"/>
      <c r="P16" s="368">
        <f>IF(L61=0,"",SUM(N61:N67)/SUM(L61:L67))</f>
        <v>23.857142857142858</v>
      </c>
      <c r="Q16" s="17"/>
      <c r="R16" s="372">
        <f t="shared" si="0"/>
        <v>0</v>
      </c>
      <c r="S16" s="330" t="s">
        <v>5</v>
      </c>
      <c r="T16" s="372">
        <f t="shared" si="1"/>
        <v>4</v>
      </c>
      <c r="U16" s="374" t="s">
        <v>6</v>
      </c>
      <c r="V16" s="370" t="str">
        <f>IF(E61=501,C61,IF(AM16="l",1,""))</f>
        <v/>
      </c>
      <c r="W16" s="370" t="str">
        <f>IF(E62=501,C62,IF(AM16="l",1,""))</f>
        <v/>
      </c>
      <c r="X16" s="370" t="str">
        <f>IF(E63=501,C63,IF(AM16="l",1,""))</f>
        <v/>
      </c>
      <c r="Y16" s="370" t="str">
        <f>IF(E64=501,C64,IF(AM16="l",1,""))</f>
        <v/>
      </c>
      <c r="Z16" s="370" t="str">
        <f>IF(E65=501,C65,"")</f>
        <v/>
      </c>
      <c r="AA16" s="370" t="str">
        <f>IF(E66=501,C66,"")</f>
        <v/>
      </c>
      <c r="AB16" s="370" t="str">
        <f>IF(E67=501,C67,"")</f>
        <v/>
      </c>
      <c r="AC16" s="44" t="s">
        <v>5</v>
      </c>
      <c r="AD16" s="370">
        <f>IF(N61=501,L61,IF(AL16="l",1,""))</f>
        <v>20</v>
      </c>
      <c r="AE16" s="370">
        <f>IF(N62=501,L62,IF(AL16="l",1,""))</f>
        <v>24</v>
      </c>
      <c r="AF16" s="370">
        <f>IF(N63=501,L63,IF(AL16="l",1,""))</f>
        <v>18</v>
      </c>
      <c r="AG16" s="370">
        <f>IF(N64=501,L64,IF(AL16="l",1,""))</f>
        <v>22</v>
      </c>
      <c r="AH16" s="370" t="str">
        <f>IF(N65=501,L65,"")</f>
        <v/>
      </c>
      <c r="AI16" s="370" t="str">
        <f>IF(N66=501,L66,"")</f>
        <v/>
      </c>
      <c r="AJ16" s="370" t="str">
        <f>IF(N67=501,L67,"")</f>
        <v/>
      </c>
      <c r="AK16" s="375" t="s">
        <v>7</v>
      </c>
      <c r="AL16" s="299">
        <f>H59</f>
        <v>0</v>
      </c>
      <c r="AM16" s="299">
        <f>I59</f>
        <v>0</v>
      </c>
      <c r="AN16" s="5" t="str">
        <f t="shared" si="2"/>
        <v>Ok</v>
      </c>
      <c r="AO16" s="4" t="str">
        <f t="shared" si="3"/>
        <v>-</v>
      </c>
      <c r="AP16" s="24"/>
      <c r="AQ16" s="24"/>
      <c r="AR16" s="24"/>
      <c r="AS16" s="24"/>
      <c r="AT16" s="24"/>
    </row>
    <row r="17" spans="1:55" ht="30" customHeight="1" x14ac:dyDescent="0.3">
      <c r="A17" s="32"/>
      <c r="B17" s="33" t="s">
        <v>44</v>
      </c>
      <c r="C17" s="409" t="str">
        <f>IF(tilasto!B14=0,"",tilasto!B14)</f>
        <v>Selenius Peter</v>
      </c>
      <c r="D17" s="409"/>
      <c r="E17" s="409"/>
      <c r="F17" s="409"/>
      <c r="G17" s="409"/>
      <c r="H17" s="368">
        <f>IF(C73=0,"",SUM(E73:E79)/SUM(C73:C79))</f>
        <v>18.643678160919539</v>
      </c>
      <c r="I17" s="19" t="s">
        <v>5</v>
      </c>
      <c r="J17" s="407" t="str">
        <f>IF(tilasto!B22=0,"",tilasto!B22)</f>
        <v>Viinikka Veijo</v>
      </c>
      <c r="K17" s="407"/>
      <c r="L17" s="407"/>
      <c r="M17" s="407"/>
      <c r="N17" s="407"/>
      <c r="O17" s="408"/>
      <c r="P17" s="368">
        <f>IF(L73=0,"",SUM(N73:N79)/SUM(L73:L79))</f>
        <v>23.302325581395348</v>
      </c>
      <c r="Q17" s="17"/>
      <c r="R17" s="372">
        <f t="shared" si="0"/>
        <v>0</v>
      </c>
      <c r="S17" s="330" t="s">
        <v>5</v>
      </c>
      <c r="T17" s="372">
        <f t="shared" si="1"/>
        <v>4</v>
      </c>
      <c r="U17" s="374" t="s">
        <v>6</v>
      </c>
      <c r="V17" s="370" t="str">
        <f>IF(E73=501,C73,IF(AM17="l",1,""))</f>
        <v/>
      </c>
      <c r="W17" s="370" t="str">
        <f>IF(E74=501,C74,IF(AM17="l",1,""))</f>
        <v/>
      </c>
      <c r="X17" s="370" t="str">
        <f>IF(E75=501,C75,IF(AM17="l",1,""))</f>
        <v/>
      </c>
      <c r="Y17" s="370" t="str">
        <f>IF(E76=501,C76,IF(AM17="l",1,""))</f>
        <v/>
      </c>
      <c r="Z17" s="370" t="str">
        <f>IF(E77=501,C77,"")</f>
        <v/>
      </c>
      <c r="AA17" s="370" t="str">
        <f>IF(E78=501,C78,"")</f>
        <v/>
      </c>
      <c r="AB17" s="370" t="str">
        <f>IF(E79=501,C79,"")</f>
        <v/>
      </c>
      <c r="AC17" s="44" t="s">
        <v>5</v>
      </c>
      <c r="AD17" s="370">
        <f>IF(N73=501,L73,IF(AL17="l",1,""))</f>
        <v>25</v>
      </c>
      <c r="AE17" s="370">
        <f>IF(N74=501,L74,IF(AL17="l",1,""))</f>
        <v>22</v>
      </c>
      <c r="AF17" s="370">
        <f>IF(N75=501,L75,IF(AL17="l",1,""))</f>
        <v>22</v>
      </c>
      <c r="AG17" s="370">
        <f>IF(N76=501,L76,IF(AL17="l",1,""))</f>
        <v>17</v>
      </c>
      <c r="AH17" s="370" t="str">
        <f>IF(N77=501,L77,"")</f>
        <v/>
      </c>
      <c r="AI17" s="370" t="str">
        <f>IF(N78=501,L78,"")</f>
        <v/>
      </c>
      <c r="AJ17" s="370" t="str">
        <f>IF(N79=501,L79,"")</f>
        <v/>
      </c>
      <c r="AK17" s="375" t="s">
        <v>7</v>
      </c>
      <c r="AL17" s="299">
        <f>H71</f>
        <v>0</v>
      </c>
      <c r="AM17" s="299">
        <f>I71</f>
        <v>0</v>
      </c>
      <c r="AN17" s="5" t="str">
        <f t="shared" si="2"/>
        <v>Ok</v>
      </c>
      <c r="AO17" s="4" t="str">
        <f t="shared" si="3"/>
        <v>-</v>
      </c>
      <c r="AP17" s="24"/>
      <c r="AQ17" s="24"/>
      <c r="AR17" s="24"/>
      <c r="AS17" s="24"/>
      <c r="AT17" s="24"/>
    </row>
    <row r="18" spans="1:55" ht="30" customHeight="1" x14ac:dyDescent="0.3">
      <c r="A18" s="32" t="s">
        <v>4</v>
      </c>
      <c r="B18" s="33" t="s">
        <v>50</v>
      </c>
      <c r="C18" s="409" t="str">
        <f>IF(tilasto!B11=0,"",tilasto!B11)</f>
        <v>Högström Sami</v>
      </c>
      <c r="D18" s="409"/>
      <c r="E18" s="409"/>
      <c r="F18" s="409"/>
      <c r="G18" s="409"/>
      <c r="H18" s="368">
        <f>IF(C85=0,"",SUM(E85:E91)/SUM(C85:C91))</f>
        <v>28.74712643678161</v>
      </c>
      <c r="I18" s="19" t="s">
        <v>5</v>
      </c>
      <c r="J18" s="407" t="str">
        <f>IF(tilasto!B20=0,"",tilasto!B20)</f>
        <v>Takkinen Uki</v>
      </c>
      <c r="K18" s="407"/>
      <c r="L18" s="407"/>
      <c r="M18" s="407"/>
      <c r="N18" s="407"/>
      <c r="O18" s="408"/>
      <c r="P18" s="368">
        <f>IF(L85=0,"",SUM(N85:N91)/SUM(L85:L91))</f>
        <v>23.85542168674699</v>
      </c>
      <c r="Q18" s="17"/>
      <c r="R18" s="372">
        <f>IF(C18="","",COUNT(V18:AB18))</f>
        <v>4</v>
      </c>
      <c r="S18" s="330" t="s">
        <v>5</v>
      </c>
      <c r="T18" s="372">
        <f>IF(J18&lt;&gt;"",COUNT(AD18:AJ18),"")</f>
        <v>1</v>
      </c>
      <c r="U18" s="374" t="s">
        <v>6</v>
      </c>
      <c r="V18" s="370" t="str">
        <f>IF(E85=501,C85,IF(AM18="l",1,""))</f>
        <v/>
      </c>
      <c r="W18" s="370">
        <f>IF(E86=501,C86,IF(AN18="l",1,""))</f>
        <v>21</v>
      </c>
      <c r="X18" s="370">
        <f>IF(E87=501,C87,IF(AM18="l",1,""))</f>
        <v>14</v>
      </c>
      <c r="Y18" s="370">
        <f>IF(E88=501,C88,IF(AM18="l",1,""))</f>
        <v>16</v>
      </c>
      <c r="Z18" s="370">
        <f>IF(E89=501,C89,"")</f>
        <v>18</v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>
        <f>IF(N85=501,L85,IF(AL18="l",1,""))</f>
        <v>17</v>
      </c>
      <c r="AE18" s="370" t="str">
        <f>IF(N86=501,L86,IF(AL18="l",1,""))</f>
        <v/>
      </c>
      <c r="AF18" s="370" t="str">
        <f>IF(N87=501,L87,IF(AL18="l",1,""))</f>
        <v/>
      </c>
      <c r="AG18" s="370" t="str">
        <f>IF(N88=501,L88,IF(AL18="l",1,""))</f>
        <v/>
      </c>
      <c r="AH18" s="370" t="str">
        <f>IF(N89=501,L89,"")</f>
        <v/>
      </c>
      <c r="AI18" s="370" t="str">
        <f>IF(N90=501,L90,"")</f>
        <v/>
      </c>
      <c r="AJ18" s="370" t="str">
        <f>IF(N91=501,L91,"")</f>
        <v/>
      </c>
      <c r="AK18" s="375" t="s">
        <v>7</v>
      </c>
      <c r="AL18" s="299">
        <f>H83</f>
        <v>0</v>
      </c>
      <c r="AM18" s="299">
        <f>I83</f>
        <v>0</v>
      </c>
      <c r="AN18" s="5" t="str">
        <f>IF(C18&lt;&gt;"",IF(J18&lt;&gt;"","Ok","-"),"-")</f>
        <v>Ok</v>
      </c>
      <c r="AO18" s="4" t="str">
        <f>IF(AND(AN18="ok",R18&lt;3),IF(AND(AN18="ok",T18&lt;3),"ei pelitietoja","-"),"-")</f>
        <v>-</v>
      </c>
      <c r="AP18" s="24"/>
      <c r="AQ18" s="24"/>
      <c r="AR18" s="24"/>
      <c r="AS18" s="24"/>
      <c r="AT18" s="24"/>
    </row>
    <row r="19" spans="1:55" ht="30" customHeight="1" x14ac:dyDescent="0.3">
      <c r="A19" s="32"/>
      <c r="B19" s="33" t="s">
        <v>45</v>
      </c>
      <c r="C19" s="409" t="str">
        <f>IF(tilasto!B12=0,"",tilasto!B12)</f>
        <v>Ek Matti</v>
      </c>
      <c r="D19" s="409"/>
      <c r="E19" s="409"/>
      <c r="F19" s="409"/>
      <c r="G19" s="409"/>
      <c r="H19" s="368">
        <f>IF(C97=0,"",SUM(E97:E103)/SUM(C97:C103))</f>
        <v>21.923076923076923</v>
      </c>
      <c r="I19" s="19" t="s">
        <v>5</v>
      </c>
      <c r="J19" s="407" t="str">
        <f>IF(tilasto!B21=0,"",tilasto!B21)</f>
        <v>Finnilä Pauli</v>
      </c>
      <c r="K19" s="407"/>
      <c r="L19" s="407"/>
      <c r="M19" s="407"/>
      <c r="N19" s="407"/>
      <c r="O19" s="408"/>
      <c r="P19" s="368">
        <f>IF(L97=0,"",SUM(N97:N103)/SUM(L97:L103))</f>
        <v>24.74074074074074</v>
      </c>
      <c r="Q19" s="17"/>
      <c r="R19" s="372">
        <f t="shared" si="0"/>
        <v>0</v>
      </c>
      <c r="S19" s="330" t="s">
        <v>5</v>
      </c>
      <c r="T19" s="372">
        <f t="shared" si="1"/>
        <v>4</v>
      </c>
      <c r="U19" s="374" t="s">
        <v>6</v>
      </c>
      <c r="V19" s="370" t="str">
        <f>IF(E97=501,C97,IF(AM19="l",1,""))</f>
        <v/>
      </c>
      <c r="W19" s="370" t="str">
        <f>IF(E98=501,C98,IF(AM19="l",1,""))</f>
        <v/>
      </c>
      <c r="X19" s="370" t="str">
        <f>IF(E99=501,C99,IF(AM19="l",1,""))</f>
        <v/>
      </c>
      <c r="Y19" s="370" t="str">
        <f>IF(E100=501,C100,IF(AM19="l",1,""))</f>
        <v/>
      </c>
      <c r="Z19" s="370" t="str">
        <f>IF(E101=501,C101,"")</f>
        <v/>
      </c>
      <c r="AA19" s="370" t="str">
        <f>IF(E102=501,C102,"")</f>
        <v/>
      </c>
      <c r="AB19" s="370" t="str">
        <f>IF(E103=501,C103,"")</f>
        <v/>
      </c>
      <c r="AC19" s="44" t="s">
        <v>5</v>
      </c>
      <c r="AD19" s="370">
        <f>IF(N97=501,L97,IF(AL19="l",1,""))</f>
        <v>19</v>
      </c>
      <c r="AE19" s="370">
        <f>IF(N98=501,L98,IF(AL19="l",1,""))</f>
        <v>18</v>
      </c>
      <c r="AF19" s="370">
        <f>IF(N99=501,L99,IF(AL19="l",1,""))</f>
        <v>17</v>
      </c>
      <c r="AG19" s="370">
        <f>IF(N100=501,L100,IF(AL19="l",1,""))</f>
        <v>27</v>
      </c>
      <c r="AH19" s="370" t="str">
        <f>IF(N101=501,L101,"")</f>
        <v/>
      </c>
      <c r="AI19" s="370" t="str">
        <f>IF(N102=501,L102,"")</f>
        <v/>
      </c>
      <c r="AJ19" s="370" t="str">
        <f>IF(N103=501,L103,"")</f>
        <v/>
      </c>
      <c r="AK19" s="375" t="s">
        <v>7</v>
      </c>
      <c r="AL19" s="299">
        <f>H83</f>
        <v>0</v>
      </c>
      <c r="AM19" s="299">
        <f>I83</f>
        <v>0</v>
      </c>
      <c r="AN19" s="5" t="str">
        <f t="shared" si="2"/>
        <v>Ok</v>
      </c>
      <c r="AO19" s="4" t="str">
        <f t="shared" si="3"/>
        <v>-</v>
      </c>
      <c r="AP19" s="24"/>
      <c r="AQ19" s="24"/>
      <c r="AR19" s="24"/>
      <c r="AS19" s="24"/>
      <c r="AT19" s="24"/>
    </row>
    <row r="20" spans="1:55" ht="30" customHeight="1" x14ac:dyDescent="0.3">
      <c r="A20" s="32" t="s">
        <v>4</v>
      </c>
      <c r="B20" s="33" t="s">
        <v>48</v>
      </c>
      <c r="C20" s="409" t="str">
        <f>IF(tilasto!B13=0,"",tilasto!B13)</f>
        <v>Kinnunen Tomi</v>
      </c>
      <c r="D20" s="409"/>
      <c r="E20" s="409"/>
      <c r="F20" s="409"/>
      <c r="G20" s="409"/>
      <c r="H20" s="368">
        <f>IF(C109=0,"",SUM(E109:E115)/SUM(C109:C115))</f>
        <v>20.807692307692307</v>
      </c>
      <c r="I20" s="19" t="s">
        <v>5</v>
      </c>
      <c r="J20" s="407" t="str">
        <f>IF(tilasto!B22=0,"",tilasto!B22)</f>
        <v>Viinikka Veijo</v>
      </c>
      <c r="K20" s="407"/>
      <c r="L20" s="407"/>
      <c r="M20" s="407"/>
      <c r="N20" s="407"/>
      <c r="O20" s="408"/>
      <c r="P20" s="368">
        <f>IF(L109=0,"",SUM(N109:N115)/SUM(L109:L115))</f>
        <v>25.367088607594937</v>
      </c>
      <c r="Q20" s="17"/>
      <c r="R20" s="372">
        <f t="shared" si="0"/>
        <v>0</v>
      </c>
      <c r="S20" s="330" t="s">
        <v>5</v>
      </c>
      <c r="T20" s="372">
        <f t="shared" si="1"/>
        <v>4</v>
      </c>
      <c r="U20" s="374" t="s">
        <v>6</v>
      </c>
      <c r="V20" s="370" t="str">
        <f>IF(E109=501,C109,IF(AM20="l",1,""))</f>
        <v/>
      </c>
      <c r="W20" s="370" t="str">
        <f>IF(E110=501,C110,IF(AM20="l",1,""))</f>
        <v/>
      </c>
      <c r="X20" s="370" t="str">
        <f>IF(E111=501,C111,IF(AM20="l",1,""))</f>
        <v/>
      </c>
      <c r="Y20" s="370" t="str">
        <f>IF(E112=501,C112,IF(AM20="l",1,""))</f>
        <v/>
      </c>
      <c r="Z20" s="370" t="str">
        <f>IF(E113=501,C113,"")</f>
        <v/>
      </c>
      <c r="AA20" s="370" t="str">
        <f>IF(E114=501,C114,"")</f>
        <v/>
      </c>
      <c r="AB20" s="370" t="str">
        <f>IF(E115=501,C115,"")</f>
        <v/>
      </c>
      <c r="AC20" s="44" t="s">
        <v>5</v>
      </c>
      <c r="AD20" s="370">
        <f>IF(N109=501,L109,IF(AL20="l",1,""))</f>
        <v>20</v>
      </c>
      <c r="AE20" s="370">
        <f>IF(N110=501,L110,IF(AL20="l",1,""))</f>
        <v>16</v>
      </c>
      <c r="AF20" s="370">
        <f>IF(N111=501,L111,IF(AL20="l",1,""))</f>
        <v>20</v>
      </c>
      <c r="AG20" s="370">
        <f>IF(N112=501,L112,IF(AL20="l",1,""))</f>
        <v>23</v>
      </c>
      <c r="AH20" s="370" t="str">
        <f>IF(N113=501,L113,"")</f>
        <v/>
      </c>
      <c r="AI20" s="370" t="str">
        <f>IF(N114=501,L114,"")</f>
        <v/>
      </c>
      <c r="AJ20" s="370" t="str">
        <f>IF(N115=501,L115,"")</f>
        <v/>
      </c>
      <c r="AK20" s="375" t="s">
        <v>7</v>
      </c>
      <c r="AL20" s="299">
        <f>H119</f>
        <v>0</v>
      </c>
      <c r="AM20" s="299">
        <f>I119</f>
        <v>0</v>
      </c>
      <c r="AN20" s="5" t="str">
        <f t="shared" si="2"/>
        <v>Ok</v>
      </c>
      <c r="AO20" s="4" t="str">
        <f t="shared" si="3"/>
        <v>-</v>
      </c>
      <c r="AP20" s="24"/>
      <c r="AQ20" s="24"/>
      <c r="AR20" s="24"/>
      <c r="AS20" s="24"/>
      <c r="AT20" s="24"/>
    </row>
    <row r="21" spans="1:55" ht="31.5" customHeight="1" x14ac:dyDescent="0.3">
      <c r="A21" s="32"/>
      <c r="B21" s="33" t="s">
        <v>49</v>
      </c>
      <c r="C21" s="409" t="str">
        <f>IF(tilasto!B14=0,"",tilasto!B14)</f>
        <v>Selenius Peter</v>
      </c>
      <c r="D21" s="409"/>
      <c r="E21" s="409"/>
      <c r="F21" s="409"/>
      <c r="G21" s="419"/>
      <c r="H21" s="368">
        <f>IF(C121=0,"",SUM(E121:E127)/SUM(C121:C127))</f>
        <v>22.420560747663551</v>
      </c>
      <c r="I21" s="19" t="s">
        <v>5</v>
      </c>
      <c r="J21" s="409" t="str">
        <f>IF(tilasto!B23=0,"",tilasto!B23)</f>
        <v>Hyttinen Pasi</v>
      </c>
      <c r="K21" s="409"/>
      <c r="L21" s="409"/>
      <c r="M21" s="409"/>
      <c r="N21" s="409"/>
      <c r="O21" s="419"/>
      <c r="P21" s="368">
        <f>IF(L121=0,"",SUM(N121:N127)/SUM(L121:L127))</f>
        <v>24.333333333333332</v>
      </c>
      <c r="Q21" s="17"/>
      <c r="R21" s="373">
        <f t="shared" si="0"/>
        <v>2</v>
      </c>
      <c r="S21" s="330" t="s">
        <v>5</v>
      </c>
      <c r="T21" s="373">
        <f t="shared" si="1"/>
        <v>4</v>
      </c>
      <c r="U21" s="374" t="s">
        <v>6</v>
      </c>
      <c r="V21" s="371" t="str">
        <f>IF(E121=501,C121,IF(AM21="l",1,""))</f>
        <v/>
      </c>
      <c r="W21" s="371">
        <f>IF(E122=501,C122,IF(AM21="l",1,""))</f>
        <v>19</v>
      </c>
      <c r="X21" s="371" t="str">
        <f>IF(E123=501,C123,IF(AM21="l",1,""))</f>
        <v/>
      </c>
      <c r="Y21" s="371">
        <f>IF(E124=501,C124,IF(AM21="l",1,""))</f>
        <v>25</v>
      </c>
      <c r="Z21" s="371" t="str">
        <f>IF(E125=501,C125,"")</f>
        <v/>
      </c>
      <c r="AA21" s="371" t="str">
        <f>IF(E126=501,C126,"")</f>
        <v/>
      </c>
      <c r="AB21" s="371" t="str">
        <f>IF(E127=501,C127,"")</f>
        <v/>
      </c>
      <c r="AC21" s="44" t="s">
        <v>5</v>
      </c>
      <c r="AD21" s="371">
        <f>IF(N121=501,L121,IF(AL21="l",1,""))</f>
        <v>24</v>
      </c>
      <c r="AE21" s="371" t="str">
        <f>IF(N122=501,L122,IF(AL21="l",1,""))</f>
        <v/>
      </c>
      <c r="AF21" s="371">
        <f>IF(N123=501,L123,IF(AL21="l",1,""))</f>
        <v>15</v>
      </c>
      <c r="AG21" s="371" t="str">
        <f>IF(N124=501,L124,IF(AL21="l",1,""))</f>
        <v/>
      </c>
      <c r="AH21" s="371">
        <f>IF(N125=501,L125,"")</f>
        <v>18</v>
      </c>
      <c r="AI21" s="371">
        <f>IF(N126=501,L126,"")</f>
        <v>15</v>
      </c>
      <c r="AJ21" s="371" t="str">
        <f>IF(N127=501,L127,"")</f>
        <v/>
      </c>
      <c r="AK21" s="375" t="s">
        <v>7</v>
      </c>
      <c r="AL21" s="299">
        <f>H119</f>
        <v>0</v>
      </c>
      <c r="AM21" s="299">
        <f>I119</f>
        <v>0</v>
      </c>
      <c r="AN21" s="5" t="str">
        <f t="shared" si="2"/>
        <v>Ok</v>
      </c>
      <c r="AO21" s="4" t="str">
        <f t="shared" si="3"/>
        <v>-</v>
      </c>
      <c r="AP21" s="24"/>
      <c r="AQ21" s="24"/>
      <c r="AR21" s="24"/>
      <c r="AS21" s="24"/>
      <c r="AT21" s="24"/>
    </row>
    <row r="22" spans="1:55" s="293" customFormat="1" ht="31.5" customHeight="1" x14ac:dyDescent="0.4">
      <c r="A22" s="286"/>
      <c r="B22" s="38" t="s">
        <v>9</v>
      </c>
      <c r="C22" s="287"/>
      <c r="D22" s="287"/>
      <c r="E22" s="287"/>
      <c r="F22" s="287"/>
      <c r="G22" s="287"/>
      <c r="H22" s="318"/>
      <c r="I22" s="288"/>
      <c r="J22" s="287"/>
      <c r="K22" s="287"/>
      <c r="L22" s="287"/>
      <c r="M22" s="287"/>
      <c r="N22" s="287"/>
      <c r="O22" s="287"/>
      <c r="P22" s="289"/>
      <c r="Q22" s="290"/>
      <c r="R22" s="345">
        <f>SUMIF(R14:R21,"&gt;0",R14:R21)</f>
        <v>11</v>
      </c>
      <c r="S22" s="308"/>
      <c r="T22" s="345">
        <f>SUMIF(T14:T21,"&gt;0",T14:T21)</f>
        <v>29</v>
      </c>
      <c r="U22" s="346"/>
      <c r="V22" s="347">
        <f>IF(R22=0,0,COUNTIF(R14:R21,"4"))</f>
        <v>1</v>
      </c>
      <c r="W22" s="348">
        <f>IF(T22=0,0,COUNTIF(T14:T21,"4"))</f>
        <v>7</v>
      </c>
      <c r="X22" s="291"/>
      <c r="Y22" s="291"/>
      <c r="Z22" s="291"/>
      <c r="AA22" s="291"/>
      <c r="AB22" s="291"/>
      <c r="AC22" s="292"/>
      <c r="AD22" s="291"/>
      <c r="AE22" s="291"/>
      <c r="AF22" s="291"/>
      <c r="AG22" s="291"/>
      <c r="AH22" s="291"/>
      <c r="AI22" s="291"/>
      <c r="AJ22" s="291"/>
      <c r="AK22" s="51"/>
      <c r="AL22" s="299"/>
      <c r="AM22" s="299"/>
      <c r="AN22" s="5"/>
      <c r="AO22" s="4"/>
      <c r="AP22" s="266"/>
      <c r="AQ22" s="266"/>
      <c r="AR22" s="266"/>
      <c r="AS22" s="266"/>
      <c r="AT22" s="266"/>
      <c r="AU22" s="24"/>
      <c r="AV22" s="24"/>
      <c r="AW22" s="24"/>
    </row>
    <row r="23" spans="1:55" ht="19.5" customHeight="1" x14ac:dyDescent="0.4">
      <c r="B23" s="280" t="str">
        <f>CONCATENATE(B6," - ",O6, "     ",V22," - ",W22)</f>
        <v>Grönan DC 1 - Keski-Suomi Darts 1     1 - 7</v>
      </c>
      <c r="C23" s="34"/>
      <c r="D23" s="34"/>
      <c r="E23" s="34"/>
      <c r="F23" s="36"/>
      <c r="G23" s="34"/>
      <c r="H23" s="319"/>
      <c r="I23" s="36"/>
      <c r="J23" s="56"/>
      <c r="K23" s="36"/>
      <c r="L23" s="36"/>
      <c r="M23" s="36"/>
      <c r="N23" s="35"/>
      <c r="O23" s="417"/>
      <c r="P23" s="418"/>
      <c r="Q23" s="191"/>
      <c r="S23" s="278"/>
      <c r="U23" s="285"/>
      <c r="V23" s="285"/>
      <c r="W23" s="181"/>
      <c r="X23" s="181"/>
      <c r="Y23" s="181"/>
      <c r="Z23" s="181"/>
      <c r="AA23" s="181"/>
      <c r="AB23" s="181"/>
      <c r="AC23" s="191"/>
      <c r="AD23" s="181"/>
      <c r="AE23" s="181"/>
      <c r="AF23" s="181"/>
      <c r="AG23" s="181"/>
      <c r="AH23" s="181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5" ht="32.25" customHeight="1" x14ac:dyDescent="0.3">
      <c r="B24" s="154" t="s">
        <v>61</v>
      </c>
      <c r="C24" s="37"/>
      <c r="D24" s="37"/>
      <c r="E24" s="37"/>
      <c r="F24" s="44"/>
      <c r="G24" s="37"/>
      <c r="H24" s="309"/>
      <c r="I24" s="2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8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</row>
    <row r="25" spans="1:55" ht="18" customHeight="1" x14ac:dyDescent="0.3">
      <c r="B25" s="378" t="s">
        <v>69</v>
      </c>
      <c r="C25" s="67"/>
      <c r="D25" s="67"/>
      <c r="E25" s="67"/>
      <c r="F25" s="103"/>
      <c r="G25" s="104" t="s">
        <v>66</v>
      </c>
      <c r="H25" s="309"/>
      <c r="I25" s="38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</row>
    <row r="26" spans="1:55" ht="30" customHeight="1" x14ac:dyDescent="0.25">
      <c r="A26" s="67"/>
      <c r="B26" s="415" t="str">
        <f>tilasto!B11</f>
        <v>Högström Sami</v>
      </c>
      <c r="C26" s="416"/>
      <c r="D26" s="416"/>
      <c r="E26" s="416"/>
      <c r="F26" s="434"/>
      <c r="G26" s="414"/>
      <c r="H26" s="414"/>
      <c r="I26" s="414"/>
      <c r="J26" s="414"/>
      <c r="K26" s="414"/>
      <c r="L26" s="414"/>
      <c r="M26" s="414"/>
      <c r="N26" s="414"/>
      <c r="O26" s="411" t="str">
        <f>tilasto!B20</f>
        <v>Takkinen Uki</v>
      </c>
      <c r="P26" s="412"/>
      <c r="Q26" s="412"/>
      <c r="R26" s="412"/>
      <c r="S26" s="412"/>
      <c r="T26" s="412"/>
      <c r="U26" s="412"/>
      <c r="V26" s="413"/>
      <c r="W26" s="431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3"/>
      <c r="AI26" s="182"/>
      <c r="AJ26" s="182"/>
      <c r="AK26" s="182"/>
    </row>
    <row r="27" spans="1:55" s="2" customFormat="1" ht="30" customHeight="1" x14ac:dyDescent="0.25">
      <c r="B27" s="397" t="str">
        <f>tilasto!B12</f>
        <v>Ek Matti</v>
      </c>
      <c r="C27" s="398"/>
      <c r="D27" s="398"/>
      <c r="E27" s="398"/>
      <c r="F27" s="398"/>
      <c r="G27" s="414"/>
      <c r="H27" s="414"/>
      <c r="I27" s="414"/>
      <c r="J27" s="414"/>
      <c r="K27" s="414"/>
      <c r="L27" s="414"/>
      <c r="M27" s="414"/>
      <c r="N27" s="414"/>
      <c r="O27" s="411" t="str">
        <f>tilasto!B21</f>
        <v>Finnilä Pauli</v>
      </c>
      <c r="P27" s="412"/>
      <c r="Q27" s="412"/>
      <c r="R27" s="412"/>
      <c r="S27" s="412"/>
      <c r="T27" s="412"/>
      <c r="U27" s="412"/>
      <c r="V27" s="413"/>
      <c r="W27" s="431" t="s">
        <v>104</v>
      </c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3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279"/>
      <c r="AT27" s="279"/>
      <c r="AU27" s="176"/>
      <c r="AV27" s="176"/>
      <c r="AW27" s="176"/>
      <c r="AX27" s="176"/>
      <c r="AY27" s="176"/>
      <c r="AZ27" s="176"/>
      <c r="BA27" s="176"/>
      <c r="BB27" s="176"/>
      <c r="BC27" s="176"/>
    </row>
    <row r="28" spans="1:55" s="2" customFormat="1" ht="30" customHeight="1" x14ac:dyDescent="0.25">
      <c r="B28" s="397" t="str">
        <f>tilasto!B13</f>
        <v>Kinnunen Tomi</v>
      </c>
      <c r="C28" s="398"/>
      <c r="D28" s="398"/>
      <c r="E28" s="398"/>
      <c r="F28" s="398"/>
      <c r="G28" s="414"/>
      <c r="H28" s="414"/>
      <c r="I28" s="414"/>
      <c r="J28" s="414"/>
      <c r="K28" s="414"/>
      <c r="L28" s="414"/>
      <c r="M28" s="414"/>
      <c r="N28" s="414"/>
      <c r="O28" s="411" t="str">
        <f>tilasto!B22</f>
        <v>Viinikka Veijo</v>
      </c>
      <c r="P28" s="412"/>
      <c r="Q28" s="412"/>
      <c r="R28" s="412"/>
      <c r="S28" s="412"/>
      <c r="T28" s="412"/>
      <c r="U28" s="412"/>
      <c r="V28" s="413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279"/>
      <c r="AT28" s="279"/>
      <c r="AU28" s="176"/>
      <c r="AV28" s="176"/>
      <c r="AW28" s="176"/>
      <c r="AX28" s="176"/>
      <c r="AY28" s="176"/>
      <c r="AZ28" s="176"/>
      <c r="BA28" s="176"/>
      <c r="BB28" s="176"/>
      <c r="BC28" s="176"/>
    </row>
    <row r="29" spans="1:55" ht="30" customHeight="1" x14ac:dyDescent="0.25">
      <c r="A29" s="106"/>
      <c r="B29" s="415" t="str">
        <f>tilasto!B14</f>
        <v>Selenius Peter</v>
      </c>
      <c r="C29" s="416"/>
      <c r="D29" s="416"/>
      <c r="E29" s="416"/>
      <c r="F29" s="416"/>
      <c r="G29" s="414"/>
      <c r="H29" s="414"/>
      <c r="I29" s="414"/>
      <c r="J29" s="414"/>
      <c r="K29" s="414"/>
      <c r="L29" s="414"/>
      <c r="M29" s="414"/>
      <c r="N29" s="414"/>
      <c r="O29" s="411" t="str">
        <f>tilasto!B23</f>
        <v>Hyttinen Pasi</v>
      </c>
      <c r="P29" s="412"/>
      <c r="Q29" s="412"/>
      <c r="R29" s="412"/>
      <c r="S29" s="412"/>
      <c r="T29" s="412"/>
      <c r="U29" s="412"/>
      <c r="V29" s="413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182"/>
      <c r="AJ29" s="182"/>
      <c r="AK29" s="182"/>
      <c r="AL29" s="302"/>
      <c r="AM29" s="302"/>
      <c r="AN29" s="302"/>
      <c r="AO29" s="302"/>
    </row>
    <row r="30" spans="1:55" ht="30" hidden="1" customHeight="1" x14ac:dyDescent="0.2"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2"/>
      <c r="P30" s="402"/>
      <c r="Q30" s="402"/>
      <c r="R30" s="402"/>
      <c r="S30" s="402"/>
      <c r="T30" s="402"/>
      <c r="U30" s="402"/>
      <c r="V30" s="40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183"/>
      <c r="AJ30" s="183"/>
      <c r="AK30" s="183"/>
    </row>
    <row r="31" spans="1:55" s="4" customFormat="1" ht="12.75" customHeight="1" x14ac:dyDescent="0.3">
      <c r="A31" s="5"/>
      <c r="C31" s="112"/>
      <c r="D31" s="112"/>
      <c r="F31" s="109"/>
      <c r="I31" s="110"/>
      <c r="J31" s="111"/>
      <c r="K31" s="110"/>
      <c r="L31" s="168"/>
      <c r="M31" s="168"/>
      <c r="O31" s="170"/>
      <c r="P31" s="112"/>
      <c r="Q31" s="133"/>
      <c r="T31" s="133"/>
      <c r="U31" s="133"/>
      <c r="V31" s="14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1:55" s="4" customFormat="1" ht="50.25" customHeight="1" x14ac:dyDescent="0.3">
      <c r="A32" s="5"/>
      <c r="B32" s="423" t="s">
        <v>71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133"/>
      <c r="U32" s="133"/>
      <c r="V32" s="14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1:55" s="4" customFormat="1" ht="10.5" customHeight="1" thickBot="1" x14ac:dyDescent="0.35">
      <c r="A33" s="5"/>
      <c r="C33" s="112"/>
      <c r="D33" s="112"/>
      <c r="F33" s="109"/>
      <c r="H33" s="5"/>
      <c r="I33" s="110"/>
      <c r="J33" s="111"/>
      <c r="K33" s="110"/>
      <c r="L33" s="168"/>
      <c r="M33" s="168"/>
      <c r="O33" s="170"/>
      <c r="P33" s="112"/>
      <c r="Q33" s="133"/>
      <c r="T33" s="118"/>
      <c r="U33" s="133"/>
      <c r="V33" s="14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1:55" s="112" customFormat="1" ht="27.75" customHeight="1" x14ac:dyDescent="0.3">
      <c r="A34" s="113"/>
      <c r="B34" s="114" t="s">
        <v>0</v>
      </c>
      <c r="C34" s="393" t="str">
        <f>C14</f>
        <v>Högström Sami</v>
      </c>
      <c r="D34" s="393"/>
      <c r="E34" s="393"/>
      <c r="F34" s="393"/>
      <c r="G34" s="393"/>
      <c r="H34" s="320">
        <f>IF(OR(H35="L",C34=0),0,1)</f>
        <v>1</v>
      </c>
      <c r="I34" s="115"/>
      <c r="J34" s="116"/>
      <c r="K34" s="117" t="s">
        <v>0</v>
      </c>
      <c r="L34" s="393" t="str">
        <f>J14</f>
        <v>Finnilä Pauli</v>
      </c>
      <c r="M34" s="393"/>
      <c r="N34" s="393"/>
      <c r="O34" s="393"/>
      <c r="P34" s="393"/>
      <c r="Q34" s="393"/>
      <c r="R34" s="393"/>
      <c r="S34" s="310">
        <f>IF(OR(I35="L",L34=0),0,1)</f>
        <v>1</v>
      </c>
      <c r="T34" s="118"/>
      <c r="U34" s="118"/>
      <c r="V34" s="142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4"/>
      <c r="AT34" s="4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1:55" s="112" customFormat="1" x14ac:dyDescent="0.3">
      <c r="B35" s="118"/>
      <c r="C35" s="21"/>
      <c r="D35" s="21"/>
      <c r="E35" s="118"/>
      <c r="F35" s="119"/>
      <c r="G35" s="118"/>
      <c r="H35" s="321"/>
      <c r="I35" s="395"/>
      <c r="J35" s="396"/>
      <c r="K35" s="120"/>
      <c r="L35" s="131"/>
      <c r="M35" s="131"/>
      <c r="N35" s="118"/>
      <c r="O35" s="146"/>
      <c r="P35" s="21"/>
      <c r="Q35" s="118"/>
      <c r="R35" s="5"/>
      <c r="S35" s="311"/>
      <c r="T35" s="118"/>
      <c r="U35" s="118"/>
      <c r="V35" s="14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4"/>
      <c r="AT35" s="4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1:55" s="112" customFormat="1" ht="23.25" customHeight="1" x14ac:dyDescent="0.3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4"/>
      <c r="I36" s="125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42"/>
      <c r="W36" s="133"/>
      <c r="X36" s="133"/>
      <c r="Y36" s="133"/>
      <c r="Z36" s="133"/>
      <c r="AA36" s="303">
        <f>IF(AND(Y33=1,N33=0),1,IF(COUNT(R36:R42)&gt;3,IF(COUNT(S36:S42)=4,0,1),0))</f>
        <v>0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4"/>
      <c r="AT36" s="4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1:55" s="112" customFormat="1" ht="31.5" customHeight="1" x14ac:dyDescent="0.25">
      <c r="A37" s="121"/>
      <c r="B37" s="128">
        <v>1</v>
      </c>
      <c r="C37" s="6">
        <v>22</v>
      </c>
      <c r="D37" s="7"/>
      <c r="E37" s="303">
        <f t="shared" ref="E37:E43" si="4">IF(C37=0," ",IF(C37=0,0,501-D37))</f>
        <v>501</v>
      </c>
      <c r="F37" s="6">
        <v>2</v>
      </c>
      <c r="G37" s="6"/>
      <c r="H37" s="303">
        <f>IF(AND(H34=1,S34=0),1,IF(COUNT(C37:C43)&gt;3,IF(COUNT(D37:D43)=4,0,1),0))</f>
        <v>0</v>
      </c>
      <c r="I37" s="130"/>
      <c r="J37" s="131"/>
      <c r="K37" s="128">
        <v>1</v>
      </c>
      <c r="L37" s="6">
        <v>21</v>
      </c>
      <c r="M37" s="7">
        <v>40</v>
      </c>
      <c r="N37" s="303">
        <f t="shared" ref="N37:N43" si="5">IF(L37=0," ",IF(L37=0,0,501-M37))</f>
        <v>461</v>
      </c>
      <c r="O37" s="6">
        <v>1</v>
      </c>
      <c r="P37" s="162"/>
      <c r="Q37" s="218"/>
      <c r="R37" s="303">
        <f>IF(AND(S34=1,H34=0),1,IF(COUNT(L37:L43)&gt;3,IF(COUNT(M37:M43)=4,0,1),0))</f>
        <v>1</v>
      </c>
      <c r="S37" s="311"/>
      <c r="T37" s="118"/>
      <c r="V37" s="214" t="str">
        <f>IF(AND(E37=501,N37=501),"TARKISTA JÄI-SARAKE"," ")</f>
        <v xml:space="preserve"> </v>
      </c>
      <c r="W37" s="207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H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4"/>
      <c r="AT37" s="4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1:55" s="112" customFormat="1" ht="31.5" customHeight="1" x14ac:dyDescent="0.25">
      <c r="A38" s="399" t="s">
        <v>14</v>
      </c>
      <c r="B38" s="128">
        <v>2</v>
      </c>
      <c r="C38" s="6">
        <v>18</v>
      </c>
      <c r="D38" s="7">
        <v>25</v>
      </c>
      <c r="E38" s="303">
        <f t="shared" si="4"/>
        <v>476</v>
      </c>
      <c r="F38" s="6">
        <v>2</v>
      </c>
      <c r="G38" s="6"/>
      <c r="H38" s="303"/>
      <c r="I38" s="130"/>
      <c r="J38" s="131"/>
      <c r="K38" s="128">
        <v>2</v>
      </c>
      <c r="L38" s="6">
        <v>20</v>
      </c>
      <c r="M38" s="272"/>
      <c r="N38" s="303">
        <f t="shared" si="5"/>
        <v>501</v>
      </c>
      <c r="O38" s="6">
        <v>3</v>
      </c>
      <c r="P38" s="162"/>
      <c r="Q38" s="218"/>
      <c r="R38" s="303"/>
      <c r="S38" s="311"/>
      <c r="T38" s="118"/>
      <c r="U38" s="118"/>
      <c r="V38" s="214" t="str">
        <f t="shared" ref="V38:V43" si="6">IF(AND(E38=501,N38=501),"TARKISTA JÄI-SARAKE"," ")</f>
        <v xml:space="preserve"> </v>
      </c>
      <c r="W38" s="215"/>
      <c r="X38" s="175"/>
      <c r="Y38" s="133"/>
      <c r="Z38" s="133"/>
      <c r="AA38" s="133"/>
      <c r="AB38" s="133"/>
      <c r="AC38" s="133"/>
      <c r="AD38" s="134" t="str">
        <f t="shared" ref="AD38:AD43" si="7">IF(AND(C38=0,L38&gt;0),"toinen TIKAT-sarake tyhjä !",IF(AND(C38&gt;0,L38=0),"toinen TIKAT-sarake tyhjä !",""))</f>
        <v/>
      </c>
      <c r="AE38" s="133"/>
      <c r="AF38" s="133"/>
      <c r="AG38" s="133"/>
      <c r="AH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4"/>
      <c r="AT38" s="4"/>
      <c r="AU38" s="133"/>
      <c r="AV38" s="133"/>
      <c r="AW38" s="133"/>
      <c r="AX38" s="133"/>
      <c r="AY38" s="133"/>
      <c r="AZ38" s="133"/>
      <c r="BA38" s="133"/>
      <c r="BB38" s="133"/>
      <c r="BC38" s="133"/>
    </row>
    <row r="39" spans="1:55" s="112" customFormat="1" ht="31.5" customHeight="1" x14ac:dyDescent="0.25">
      <c r="A39" s="400"/>
      <c r="B39" s="128">
        <v>3</v>
      </c>
      <c r="C39" s="6">
        <v>15</v>
      </c>
      <c r="D39" s="7">
        <v>204</v>
      </c>
      <c r="E39" s="303">
        <f t="shared" si="4"/>
        <v>297</v>
      </c>
      <c r="F39" s="6"/>
      <c r="G39" s="6"/>
      <c r="H39" s="303"/>
      <c r="I39" s="130"/>
      <c r="J39" s="131"/>
      <c r="K39" s="128">
        <v>3</v>
      </c>
      <c r="L39" s="6">
        <v>15</v>
      </c>
      <c r="M39" s="272"/>
      <c r="N39" s="303">
        <f t="shared" si="5"/>
        <v>501</v>
      </c>
      <c r="O39" s="6">
        <v>4</v>
      </c>
      <c r="P39" s="162"/>
      <c r="Q39" s="218"/>
      <c r="R39" s="303"/>
      <c r="S39" s="311"/>
      <c r="T39" s="118"/>
      <c r="U39" s="118"/>
      <c r="V39" s="214" t="str">
        <f t="shared" si="6"/>
        <v xml:space="preserve"> </v>
      </c>
      <c r="W39" s="215"/>
      <c r="X39" s="175"/>
      <c r="Y39" s="133"/>
      <c r="Z39" s="133"/>
      <c r="AA39" s="133"/>
      <c r="AB39" s="133"/>
      <c r="AC39" s="133"/>
      <c r="AD39" s="134" t="str">
        <f t="shared" si="7"/>
        <v/>
      </c>
      <c r="AE39" s="133"/>
      <c r="AF39" s="133"/>
      <c r="AG39" s="133"/>
      <c r="AH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4"/>
      <c r="AT39" s="4"/>
      <c r="AU39" s="133"/>
      <c r="AV39" s="133"/>
      <c r="AW39" s="133"/>
      <c r="AX39" s="133"/>
      <c r="AY39" s="133"/>
      <c r="AZ39" s="133"/>
      <c r="BA39" s="133"/>
      <c r="BB39" s="133"/>
      <c r="BC39" s="133"/>
    </row>
    <row r="40" spans="1:55" s="112" customFormat="1" ht="31.5" customHeight="1" x14ac:dyDescent="0.25">
      <c r="A40" s="400"/>
      <c r="B40" s="128">
        <v>4</v>
      </c>
      <c r="C40" s="6">
        <v>12</v>
      </c>
      <c r="D40" s="7">
        <v>185</v>
      </c>
      <c r="E40" s="303">
        <f t="shared" si="4"/>
        <v>316</v>
      </c>
      <c r="F40" s="6">
        <v>1</v>
      </c>
      <c r="G40" s="6"/>
      <c r="H40" s="303"/>
      <c r="I40" s="130"/>
      <c r="J40" s="131"/>
      <c r="K40" s="128">
        <v>4</v>
      </c>
      <c r="L40" s="6">
        <v>15</v>
      </c>
      <c r="M40" s="272"/>
      <c r="N40" s="303">
        <f t="shared" si="5"/>
        <v>501</v>
      </c>
      <c r="O40" s="6">
        <v>4</v>
      </c>
      <c r="P40" s="162"/>
      <c r="Q40" s="218"/>
      <c r="R40" s="303"/>
      <c r="S40" s="311"/>
      <c r="T40" s="118"/>
      <c r="U40" s="118"/>
      <c r="V40" s="214" t="str">
        <f t="shared" si="6"/>
        <v xml:space="preserve"> </v>
      </c>
      <c r="W40" s="215"/>
      <c r="X40" s="175"/>
      <c r="Y40" s="133"/>
      <c r="Z40" s="133"/>
      <c r="AA40" s="133"/>
      <c r="AB40" s="133"/>
      <c r="AC40" s="133"/>
      <c r="AD40" s="134" t="str">
        <f t="shared" si="7"/>
        <v/>
      </c>
      <c r="AE40" s="133"/>
      <c r="AF40" s="133"/>
      <c r="AG40" s="133"/>
      <c r="AH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4"/>
      <c r="AT40" s="4"/>
      <c r="AU40" s="133"/>
      <c r="AV40" s="133"/>
      <c r="AW40" s="133"/>
      <c r="AX40" s="133"/>
      <c r="AY40" s="133"/>
      <c r="AZ40" s="133"/>
      <c r="BA40" s="133"/>
      <c r="BB40" s="133"/>
      <c r="BC40" s="133"/>
    </row>
    <row r="41" spans="1:55" s="112" customFormat="1" ht="31.5" customHeight="1" x14ac:dyDescent="0.25">
      <c r="A41" s="121"/>
      <c r="B41" s="128">
        <v>5</v>
      </c>
      <c r="C41" s="6">
        <v>16</v>
      </c>
      <c r="D41" s="7"/>
      <c r="E41" s="303">
        <f t="shared" si="4"/>
        <v>501</v>
      </c>
      <c r="F41" s="6">
        <v>3</v>
      </c>
      <c r="G41" s="6"/>
      <c r="H41" s="303"/>
      <c r="I41" s="130"/>
      <c r="J41" s="131"/>
      <c r="K41" s="128">
        <v>5</v>
      </c>
      <c r="L41" s="6">
        <v>15</v>
      </c>
      <c r="M41" s="272">
        <v>104</v>
      </c>
      <c r="N41" s="303">
        <f t="shared" si="5"/>
        <v>397</v>
      </c>
      <c r="O41" s="6">
        <v>1</v>
      </c>
      <c r="P41" s="162"/>
      <c r="Q41" s="218"/>
      <c r="R41" s="303"/>
      <c r="S41" s="311"/>
      <c r="T41" s="118"/>
      <c r="U41" s="118"/>
      <c r="V41" s="214" t="str">
        <f t="shared" si="6"/>
        <v xml:space="preserve"> </v>
      </c>
      <c r="W41" s="215"/>
      <c r="X41" s="175"/>
      <c r="Y41" s="133"/>
      <c r="Z41" s="133"/>
      <c r="AA41" s="133"/>
      <c r="AB41" s="133"/>
      <c r="AC41" s="133"/>
      <c r="AD41" s="134" t="str">
        <f t="shared" si="7"/>
        <v/>
      </c>
      <c r="AE41" s="133"/>
      <c r="AF41" s="133"/>
      <c r="AG41" s="133"/>
      <c r="AH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4"/>
      <c r="AT41" s="4"/>
      <c r="AU41" s="133"/>
      <c r="AV41" s="133"/>
      <c r="AW41" s="133"/>
      <c r="AX41" s="133"/>
      <c r="AY41" s="133"/>
      <c r="AZ41" s="133"/>
      <c r="BA41" s="133"/>
      <c r="BB41" s="133"/>
      <c r="BC41" s="133"/>
    </row>
    <row r="42" spans="1:55" s="112" customFormat="1" ht="31.5" customHeight="1" x14ac:dyDescent="0.25">
      <c r="A42" s="21"/>
      <c r="B42" s="128">
        <v>6</v>
      </c>
      <c r="C42" s="6">
        <v>12</v>
      </c>
      <c r="D42" s="7">
        <v>62</v>
      </c>
      <c r="E42" s="303">
        <f t="shared" si="4"/>
        <v>439</v>
      </c>
      <c r="F42" s="6">
        <v>3</v>
      </c>
      <c r="G42" s="6"/>
      <c r="H42" s="303"/>
      <c r="I42" s="130"/>
      <c r="J42" s="131"/>
      <c r="K42" s="128">
        <v>6</v>
      </c>
      <c r="L42" s="6">
        <v>15</v>
      </c>
      <c r="M42" s="272"/>
      <c r="N42" s="303">
        <f t="shared" si="5"/>
        <v>501</v>
      </c>
      <c r="O42" s="6">
        <v>3</v>
      </c>
      <c r="P42" s="162"/>
      <c r="Q42" s="218"/>
      <c r="R42" s="303"/>
      <c r="S42" s="311"/>
      <c r="T42" s="118"/>
      <c r="U42" s="118"/>
      <c r="V42" s="214" t="str">
        <f t="shared" si="6"/>
        <v xml:space="preserve"> </v>
      </c>
      <c r="W42" s="215"/>
      <c r="X42" s="175"/>
      <c r="Y42" s="133"/>
      <c r="Z42" s="133"/>
      <c r="AA42" s="133"/>
      <c r="AB42" s="133"/>
      <c r="AC42" s="133"/>
      <c r="AD42" s="134" t="str">
        <f t="shared" si="7"/>
        <v/>
      </c>
      <c r="AE42" s="133"/>
      <c r="AF42" s="133"/>
      <c r="AG42" s="133"/>
      <c r="AH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4"/>
      <c r="AT42" s="4"/>
      <c r="AU42" s="133"/>
      <c r="AV42" s="133"/>
      <c r="AW42" s="133"/>
      <c r="AX42" s="133"/>
      <c r="AY42" s="133"/>
      <c r="AZ42" s="133"/>
      <c r="BA42" s="133"/>
      <c r="BB42" s="133"/>
      <c r="BC42" s="133"/>
    </row>
    <row r="43" spans="1:55" s="112" customFormat="1" ht="31.5" customHeight="1" x14ac:dyDescent="0.25">
      <c r="A43" s="21"/>
      <c r="B43" s="128">
        <v>7</v>
      </c>
      <c r="C43" s="6"/>
      <c r="D43" s="7"/>
      <c r="E43" s="303" t="str">
        <f t="shared" si="4"/>
        <v xml:space="preserve"> </v>
      </c>
      <c r="F43" s="6"/>
      <c r="G43" s="6"/>
      <c r="H43" s="303"/>
      <c r="I43" s="130"/>
      <c r="J43" s="131"/>
      <c r="K43" s="128">
        <v>7</v>
      </c>
      <c r="L43" s="6"/>
      <c r="M43" s="272"/>
      <c r="N43" s="303" t="str">
        <f t="shared" si="5"/>
        <v xml:space="preserve"> </v>
      </c>
      <c r="O43" s="6"/>
      <c r="P43" s="161"/>
      <c r="Q43" s="218"/>
      <c r="R43" s="303"/>
      <c r="S43" s="311"/>
      <c r="T43" s="118"/>
      <c r="U43" s="118"/>
      <c r="V43" s="214" t="str">
        <f t="shared" si="6"/>
        <v xml:space="preserve"> </v>
      </c>
      <c r="W43" s="215"/>
      <c r="X43" s="175"/>
      <c r="Y43" s="133"/>
      <c r="Z43" s="133"/>
      <c r="AA43" s="133"/>
      <c r="AB43" s="133"/>
      <c r="AC43" s="133"/>
      <c r="AD43" s="134" t="str">
        <f t="shared" si="7"/>
        <v/>
      </c>
      <c r="AE43" s="133"/>
      <c r="AF43" s="133"/>
      <c r="AG43" s="133"/>
      <c r="AH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4"/>
      <c r="AT43" s="4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:55" s="4" customFormat="1" ht="23.25" customHeight="1" thickBot="1" x14ac:dyDescent="0.35">
      <c r="A44" s="137" t="s">
        <v>14</v>
      </c>
      <c r="B44" s="137"/>
      <c r="C44" s="136">
        <f>COUNTIF(C37:C43,"&gt;0")</f>
        <v>6</v>
      </c>
      <c r="D44" s="136">
        <f>COUNTIF(D37:D43,"&gt;0")</f>
        <v>4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6</v>
      </c>
      <c r="M44" s="136">
        <f>COUNTIF(M37:M43,"&gt;0")</f>
        <v>2</v>
      </c>
      <c r="N44" s="137"/>
      <c r="O44" s="138"/>
      <c r="P44" s="137"/>
      <c r="Q44" s="137"/>
      <c r="R44" s="137"/>
      <c r="S44" s="312"/>
      <c r="T44" s="5"/>
      <c r="U44" s="5"/>
      <c r="V44" s="327"/>
    </row>
    <row r="45" spans="1:55" s="4" customFormat="1" ht="36.75" customHeight="1" thickBot="1" x14ac:dyDescent="0.35">
      <c r="A45" s="5"/>
      <c r="C45" s="112"/>
      <c r="D45" s="112"/>
      <c r="F45" s="109"/>
      <c r="I45" s="110"/>
      <c r="J45" s="111"/>
      <c r="K45" s="110"/>
      <c r="L45" s="168"/>
      <c r="M45" s="168"/>
      <c r="O45" s="170"/>
      <c r="P45" s="112"/>
      <c r="Q45" s="133"/>
      <c r="T45" s="118"/>
      <c r="U45" s="133"/>
      <c r="V45" s="14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:55" s="112" customFormat="1" ht="27.75" customHeight="1" x14ac:dyDescent="0.3">
      <c r="A46" s="113"/>
      <c r="B46" s="114" t="s">
        <v>0</v>
      </c>
      <c r="C46" s="393" t="str">
        <f>C15</f>
        <v>Ek Matti</v>
      </c>
      <c r="D46" s="393"/>
      <c r="E46" s="393"/>
      <c r="F46" s="393"/>
      <c r="G46" s="393"/>
      <c r="H46" s="322">
        <f>IF(OR(H47="L",C46=0),0,1)</f>
        <v>1</v>
      </c>
      <c r="I46" s="144"/>
      <c r="J46" s="145"/>
      <c r="K46" s="117" t="s">
        <v>0</v>
      </c>
      <c r="L46" s="393" t="str">
        <f>J15</f>
        <v>Takkinen Uki</v>
      </c>
      <c r="M46" s="393"/>
      <c r="N46" s="393"/>
      <c r="O46" s="393"/>
      <c r="P46" s="393"/>
      <c r="Q46" s="394"/>
      <c r="R46" s="394"/>
      <c r="S46" s="310">
        <f>IF(OR(I47="L",L46=0),0,1)</f>
        <v>1</v>
      </c>
      <c r="T46" s="133"/>
      <c r="U46" s="133"/>
      <c r="V46" s="14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4"/>
      <c r="AT46" s="4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:55" s="112" customFormat="1" x14ac:dyDescent="0.3">
      <c r="A47" s="121"/>
      <c r="B47" s="21"/>
      <c r="C47" s="21"/>
      <c r="D47" s="21"/>
      <c r="E47" s="21"/>
      <c r="F47" s="146"/>
      <c r="G47" s="21"/>
      <c r="H47" s="321"/>
      <c r="I47" s="391"/>
      <c r="J47" s="392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4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4"/>
      <c r="AT47" s="4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112" customFormat="1" ht="23.25" customHeight="1" x14ac:dyDescent="0.3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125"/>
      <c r="J48" s="126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74"/>
      <c r="R48" s="124"/>
      <c r="S48" s="311"/>
      <c r="V48" s="275"/>
      <c r="AL48" s="4"/>
      <c r="AM48" s="4"/>
      <c r="AN48" s="4"/>
      <c r="AO48" s="4"/>
      <c r="AP48" s="4"/>
      <c r="AQ48" s="4"/>
      <c r="AR48" s="4"/>
      <c r="AS48" s="4"/>
      <c r="AT48" s="4"/>
    </row>
    <row r="49" spans="1:55" s="112" customFormat="1" ht="30.75" customHeight="1" x14ac:dyDescent="0.2">
      <c r="A49" s="121"/>
      <c r="B49" s="128">
        <v>1</v>
      </c>
      <c r="C49" s="6">
        <v>35</v>
      </c>
      <c r="D49" s="169"/>
      <c r="E49" s="303">
        <f>IF(C49=0,"",IF(C49=0,0,501-D49))</f>
        <v>501</v>
      </c>
      <c r="F49" s="6"/>
      <c r="G49" s="6"/>
      <c r="H49" s="303">
        <f>IF(AND(H46=1,S46=0),1,IF(COUNT(C49:C55)&gt;3,IF(COUNT(D49:D55)=4,0,1),0))</f>
        <v>0</v>
      </c>
      <c r="I49" s="130"/>
      <c r="J49" s="59"/>
      <c r="K49" s="128">
        <v>1</v>
      </c>
      <c r="L49" s="6">
        <v>36</v>
      </c>
      <c r="M49" s="7">
        <v>2</v>
      </c>
      <c r="N49" s="303">
        <f t="shared" ref="N49:N54" si="8">IF(L49=0," ",IF(L49=0,0,501-M49))</f>
        <v>499</v>
      </c>
      <c r="O49" s="6"/>
      <c r="P49" s="162"/>
      <c r="Q49" s="218"/>
      <c r="R49" s="314">
        <f>IF(AND(S46=1,H46=0),1,IF(COUNT(L49:L55)&gt;3,IF(COUNT(M49:M55)=4,0,1),0))</f>
        <v>1</v>
      </c>
      <c r="S49" s="311"/>
      <c r="T49" s="133"/>
      <c r="V49" s="214" t="str">
        <f t="shared" ref="V49:V55" si="9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0">IF(AND(C49=0,L49&gt;0),"toinen TIKAT-sarake tyhjä !",IF(AND(C49&gt;0,L49=0),"toinen TIKAT-sarake tyhjä !",""))</f>
        <v/>
      </c>
      <c r="AE49" s="133"/>
      <c r="AF49" s="133"/>
      <c r="AG49" s="133"/>
      <c r="AH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4"/>
      <c r="AT49" s="4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:55" s="112" customFormat="1" ht="30.75" customHeight="1" x14ac:dyDescent="0.25">
      <c r="A50" s="399" t="s">
        <v>15</v>
      </c>
      <c r="B50" s="128">
        <v>2</v>
      </c>
      <c r="C50" s="6">
        <v>21</v>
      </c>
      <c r="D50" s="7">
        <v>120</v>
      </c>
      <c r="E50" s="303">
        <f t="shared" ref="E50:E55" si="11">IF(C50=0," ",IF(C50=0,0,501-D50))</f>
        <v>381</v>
      </c>
      <c r="F50" s="6"/>
      <c r="G50" s="6"/>
      <c r="H50" s="5"/>
      <c r="I50" s="130"/>
      <c r="J50" s="59"/>
      <c r="K50" s="128">
        <v>2</v>
      </c>
      <c r="L50" s="6">
        <v>21</v>
      </c>
      <c r="M50" s="7"/>
      <c r="N50" s="303">
        <f t="shared" si="8"/>
        <v>501</v>
      </c>
      <c r="O50" s="6">
        <v>2</v>
      </c>
      <c r="P50" s="162"/>
      <c r="Q50" s="218"/>
      <c r="R50" s="303"/>
      <c r="S50" s="311"/>
      <c r="T50" s="133"/>
      <c r="U50" s="133"/>
      <c r="V50" s="214" t="str">
        <f t="shared" si="9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0"/>
        <v/>
      </c>
      <c r="AE50" s="133"/>
      <c r="AF50" s="133"/>
      <c r="AG50" s="133"/>
      <c r="AH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4"/>
      <c r="AT50" s="4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:55" s="112" customFormat="1" ht="30.75" customHeight="1" x14ac:dyDescent="0.25">
      <c r="A51" s="400"/>
      <c r="B51" s="128">
        <v>3</v>
      </c>
      <c r="C51" s="6">
        <v>20</v>
      </c>
      <c r="D51" s="7"/>
      <c r="E51" s="303">
        <f t="shared" si="11"/>
        <v>501</v>
      </c>
      <c r="F51" s="6">
        <v>1</v>
      </c>
      <c r="G51" s="6"/>
      <c r="H51" s="5"/>
      <c r="I51" s="130"/>
      <c r="J51" s="59"/>
      <c r="K51" s="128">
        <v>3</v>
      </c>
      <c r="L51" s="6">
        <v>21</v>
      </c>
      <c r="M51" s="7">
        <v>16</v>
      </c>
      <c r="N51" s="303">
        <f t="shared" si="8"/>
        <v>485</v>
      </c>
      <c r="O51" s="6">
        <v>2</v>
      </c>
      <c r="P51" s="162"/>
      <c r="Q51" s="218"/>
      <c r="R51" s="303"/>
      <c r="S51" s="311"/>
      <c r="T51" s="133"/>
      <c r="U51" s="133"/>
      <c r="V51" s="214" t="str">
        <f t="shared" si="9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0"/>
        <v/>
      </c>
      <c r="AE51" s="133"/>
      <c r="AF51" s="133"/>
      <c r="AG51" s="133"/>
      <c r="AH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4"/>
      <c r="AT51" s="4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:55" s="112" customFormat="1" ht="30.75" customHeight="1" x14ac:dyDescent="0.25">
      <c r="A52" s="400"/>
      <c r="B52" s="128">
        <v>4</v>
      </c>
      <c r="C52" s="6">
        <v>24</v>
      </c>
      <c r="D52" s="7"/>
      <c r="E52" s="303">
        <f t="shared" si="11"/>
        <v>501</v>
      </c>
      <c r="F52" s="6"/>
      <c r="G52" s="6"/>
      <c r="H52" s="5"/>
      <c r="I52" s="130"/>
      <c r="J52" s="59"/>
      <c r="K52" s="128">
        <v>4</v>
      </c>
      <c r="L52" s="6">
        <v>21</v>
      </c>
      <c r="M52" s="7">
        <v>7</v>
      </c>
      <c r="N52" s="303">
        <f t="shared" si="8"/>
        <v>494</v>
      </c>
      <c r="O52" s="6">
        <v>2</v>
      </c>
      <c r="P52" s="162"/>
      <c r="Q52" s="218"/>
      <c r="R52" s="303"/>
      <c r="S52" s="311"/>
      <c r="T52" s="133"/>
      <c r="U52" s="133"/>
      <c r="V52" s="214" t="str">
        <f t="shared" si="9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0"/>
        <v/>
      </c>
      <c r="AE52" s="133"/>
      <c r="AF52" s="133"/>
      <c r="AG52" s="133"/>
      <c r="AH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4"/>
      <c r="AT52" s="4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:55" s="112" customFormat="1" ht="30.75" customHeight="1" x14ac:dyDescent="0.25">
      <c r="A53" s="121"/>
      <c r="B53" s="128">
        <v>5</v>
      </c>
      <c r="C53" s="6">
        <v>15</v>
      </c>
      <c r="D53" s="7">
        <v>184</v>
      </c>
      <c r="E53" s="303">
        <f t="shared" si="11"/>
        <v>317</v>
      </c>
      <c r="F53" s="6"/>
      <c r="G53" s="6"/>
      <c r="H53" s="5"/>
      <c r="I53" s="130"/>
      <c r="J53" s="59"/>
      <c r="K53" s="128">
        <v>5</v>
      </c>
      <c r="L53" s="6">
        <v>18</v>
      </c>
      <c r="M53" s="7"/>
      <c r="N53" s="303">
        <f t="shared" si="8"/>
        <v>501</v>
      </c>
      <c r="O53" s="6">
        <v>3</v>
      </c>
      <c r="P53" s="162"/>
      <c r="Q53" s="218"/>
      <c r="R53" s="303"/>
      <c r="S53" s="311"/>
      <c r="T53" s="133"/>
      <c r="U53" s="133"/>
      <c r="V53" s="214" t="str">
        <f t="shared" si="9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0"/>
        <v/>
      </c>
      <c r="AE53" s="133"/>
      <c r="AF53" s="133"/>
      <c r="AG53" s="133"/>
      <c r="AH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4"/>
      <c r="AT53" s="4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:55" s="112" customFormat="1" ht="30.75" customHeight="1" x14ac:dyDescent="0.25">
      <c r="A54" s="121"/>
      <c r="B54" s="128">
        <v>6</v>
      </c>
      <c r="C54" s="6">
        <v>15</v>
      </c>
      <c r="D54" s="7">
        <v>200</v>
      </c>
      <c r="E54" s="303">
        <f t="shared" si="11"/>
        <v>301</v>
      </c>
      <c r="F54" s="6">
        <v>1</v>
      </c>
      <c r="G54" s="6"/>
      <c r="H54" s="5"/>
      <c r="I54" s="130"/>
      <c r="J54" s="59"/>
      <c r="K54" s="128">
        <v>6</v>
      </c>
      <c r="L54" s="6">
        <v>14</v>
      </c>
      <c r="M54" s="7"/>
      <c r="N54" s="303">
        <f t="shared" si="8"/>
        <v>501</v>
      </c>
      <c r="O54" s="6">
        <v>3</v>
      </c>
      <c r="P54" s="162"/>
      <c r="Q54" s="218"/>
      <c r="R54" s="303"/>
      <c r="S54" s="311"/>
      <c r="T54" s="133"/>
      <c r="U54" s="133"/>
      <c r="V54" s="214" t="str">
        <f t="shared" si="9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0"/>
        <v/>
      </c>
      <c r="AE54" s="133"/>
      <c r="AF54" s="133"/>
      <c r="AG54" s="133"/>
      <c r="AH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4"/>
      <c r="AT54" s="4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:55" s="112" customFormat="1" ht="30.75" customHeight="1" x14ac:dyDescent="0.25">
      <c r="A55" s="121"/>
      <c r="B55" s="128">
        <v>7</v>
      </c>
      <c r="C55" s="6">
        <v>18</v>
      </c>
      <c r="D55" s="7">
        <v>20</v>
      </c>
      <c r="E55" s="303">
        <f t="shared" si="11"/>
        <v>481</v>
      </c>
      <c r="F55" s="6">
        <v>3</v>
      </c>
      <c r="G55" s="6"/>
      <c r="H55" s="5"/>
      <c r="I55" s="130"/>
      <c r="J55" s="59"/>
      <c r="K55" s="128">
        <v>7</v>
      </c>
      <c r="L55" s="6">
        <v>20</v>
      </c>
      <c r="M55" s="7"/>
      <c r="N55" s="303">
        <f t="shared" ref="N55" si="12">IF(L55=0," ",IF(L55=0,0,501-M55))</f>
        <v>501</v>
      </c>
      <c r="O55" s="6">
        <v>1</v>
      </c>
      <c r="P55" s="162"/>
      <c r="Q55" s="218"/>
      <c r="R55" s="303"/>
      <c r="S55" s="311"/>
      <c r="T55" s="133"/>
      <c r="U55" s="133"/>
      <c r="V55" s="214" t="str">
        <f t="shared" si="9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0"/>
        <v/>
      </c>
      <c r="AE55" s="133"/>
      <c r="AF55" s="133"/>
      <c r="AG55" s="133"/>
      <c r="AH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4"/>
      <c r="AT55" s="4"/>
      <c r="AU55" s="133"/>
      <c r="AV55" s="133"/>
      <c r="AW55" s="133"/>
      <c r="AX55" s="133"/>
      <c r="AY55" s="133"/>
      <c r="AZ55" s="133"/>
      <c r="BA55" s="133"/>
      <c r="BB55" s="133"/>
      <c r="BC55" s="133"/>
    </row>
    <row r="56" spans="1:55" s="112" customFormat="1" ht="17.25" customHeight="1" thickBot="1" x14ac:dyDescent="0.35">
      <c r="A56" s="148"/>
      <c r="B56" s="137" t="s">
        <v>15</v>
      </c>
      <c r="C56" s="136">
        <f>COUNTIF(C49:C55,"&gt;0")</f>
        <v>7</v>
      </c>
      <c r="D56" s="136">
        <f>COUNTIF(D49:D55,"&gt;0")</f>
        <v>4</v>
      </c>
      <c r="E56" s="135"/>
      <c r="F56" s="141"/>
      <c r="G56" s="135"/>
      <c r="H56" s="137"/>
      <c r="I56" s="149"/>
      <c r="J56" s="150"/>
      <c r="K56" s="151"/>
      <c r="L56" s="136">
        <f>COUNTIF(L49:L55,"&gt;0")</f>
        <v>7</v>
      </c>
      <c r="M56" s="136">
        <f>COUNTIF(M49:M55,"&gt;0")</f>
        <v>3</v>
      </c>
      <c r="N56" s="135"/>
      <c r="O56" s="141"/>
      <c r="P56" s="135"/>
      <c r="Q56" s="216"/>
      <c r="R56" s="137"/>
      <c r="S56" s="312"/>
      <c r="T56" s="133"/>
      <c r="U56" s="133"/>
      <c r="V56" s="14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4"/>
      <c r="AT56" s="4"/>
      <c r="AU56" s="133"/>
      <c r="AV56" s="133"/>
      <c r="AW56" s="133"/>
      <c r="AX56" s="133"/>
      <c r="AY56" s="133"/>
      <c r="AZ56" s="133"/>
      <c r="BA56" s="133"/>
      <c r="BB56" s="133"/>
      <c r="BC56" s="133"/>
    </row>
    <row r="57" spans="1:55" s="4" customFormat="1" ht="36" customHeight="1" thickBot="1" x14ac:dyDescent="0.35">
      <c r="A57" s="5"/>
      <c r="C57" s="112"/>
      <c r="D57" s="112"/>
      <c r="F57" s="109"/>
      <c r="I57" s="110"/>
      <c r="J57" s="111"/>
      <c r="K57" s="110"/>
      <c r="L57" s="168"/>
      <c r="M57" s="168"/>
      <c r="O57" s="170"/>
      <c r="P57" s="112"/>
      <c r="Q57" s="133"/>
      <c r="T57" s="133"/>
      <c r="U57" s="133"/>
      <c r="V57" s="14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s="112" customFormat="1" ht="27" customHeight="1" x14ac:dyDescent="0.3">
      <c r="A58" s="113"/>
      <c r="B58" s="114" t="s">
        <v>0</v>
      </c>
      <c r="C58" s="393" t="str">
        <f>C16</f>
        <v>Kinnunen Tomi</v>
      </c>
      <c r="D58" s="393"/>
      <c r="E58" s="393"/>
      <c r="F58" s="393"/>
      <c r="G58" s="393"/>
      <c r="H58" s="322">
        <f>IF(OR(H59="L",C58=0),0,1)</f>
        <v>1</v>
      </c>
      <c r="I58" s="144"/>
      <c r="J58" s="145"/>
      <c r="K58" s="117" t="s">
        <v>0</v>
      </c>
      <c r="L58" s="393" t="str">
        <f>J16</f>
        <v>Hyttinen Pasi</v>
      </c>
      <c r="M58" s="393"/>
      <c r="N58" s="393"/>
      <c r="O58" s="393"/>
      <c r="P58" s="393"/>
      <c r="Q58" s="394"/>
      <c r="R58" s="394"/>
      <c r="S58" s="310">
        <f>IF(OR(I59="L",L58=0),0,1)</f>
        <v>1</v>
      </c>
      <c r="T58" s="133"/>
      <c r="U58" s="133"/>
      <c r="V58" s="14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4"/>
      <c r="AT58" s="4"/>
      <c r="AU58" s="133"/>
      <c r="AV58" s="133"/>
      <c r="AW58" s="133"/>
      <c r="AX58" s="133"/>
      <c r="AY58" s="133"/>
      <c r="AZ58" s="133"/>
      <c r="BA58" s="133"/>
      <c r="BB58" s="133"/>
      <c r="BC58" s="133"/>
    </row>
    <row r="59" spans="1:55" s="112" customFormat="1" x14ac:dyDescent="0.3">
      <c r="A59" s="121"/>
      <c r="B59" s="21"/>
      <c r="C59" s="21"/>
      <c r="D59" s="21"/>
      <c r="E59" s="21"/>
      <c r="F59" s="146"/>
      <c r="G59" s="21"/>
      <c r="H59" s="321"/>
      <c r="I59" s="391"/>
      <c r="J59" s="392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4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4"/>
      <c r="AT59" s="4"/>
      <c r="AU59" s="133"/>
      <c r="AV59" s="133"/>
      <c r="AW59" s="133"/>
      <c r="AX59" s="133"/>
      <c r="AY59" s="133"/>
      <c r="AZ59" s="133"/>
      <c r="BA59" s="133"/>
      <c r="BB59" s="133"/>
      <c r="BC59" s="133"/>
    </row>
    <row r="60" spans="1:55" s="112" customFormat="1" x14ac:dyDescent="0.3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125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4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4"/>
      <c r="AT60" s="4"/>
      <c r="AU60" s="133"/>
      <c r="AV60" s="133"/>
      <c r="AW60" s="133"/>
      <c r="AX60" s="133"/>
      <c r="AY60" s="133"/>
      <c r="AZ60" s="133"/>
      <c r="BA60" s="133"/>
      <c r="BB60" s="133"/>
      <c r="BC60" s="133"/>
    </row>
    <row r="61" spans="1:55" s="112" customFormat="1" ht="30.75" customHeight="1" x14ac:dyDescent="0.2">
      <c r="A61" s="121"/>
      <c r="B61" s="128">
        <v>1</v>
      </c>
      <c r="C61" s="6">
        <v>21</v>
      </c>
      <c r="D61" s="7">
        <v>40</v>
      </c>
      <c r="E61" s="303">
        <f>IF(C61=0,"",IF(C61=0,0,501-D61))</f>
        <v>461</v>
      </c>
      <c r="F61" s="6">
        <v>1</v>
      </c>
      <c r="G61" s="6"/>
      <c r="H61" s="324">
        <f>IF(AND(H58=1,S58=0),1,IF(COUNT(C61:C67)&gt;3,IF(COUNT(D61:D67)=4,0,1),0))</f>
        <v>0</v>
      </c>
      <c r="I61" s="130"/>
      <c r="J61" s="59"/>
      <c r="K61" s="128">
        <v>1</v>
      </c>
      <c r="L61" s="6">
        <v>20</v>
      </c>
      <c r="M61" s="7"/>
      <c r="N61" s="303">
        <f t="shared" ref="N61:N67" si="13">IF(L61=0," ",IF(L61=0,0,501-M61))</f>
        <v>501</v>
      </c>
      <c r="O61" s="6">
        <v>1</v>
      </c>
      <c r="P61" s="162"/>
      <c r="Q61" s="218"/>
      <c r="R61" s="314">
        <f>IF(AND(S58=1,H58=0),1,IF(COUNT(L61:L67)&gt;3,IF(COUNT(M61:M67)=4,0,1),0))</f>
        <v>1</v>
      </c>
      <c r="S61" s="311"/>
      <c r="T61" s="133"/>
      <c r="V61" s="214" t="str">
        <f t="shared" ref="V61:V67" si="14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5">IF(AND(C61=0,L61&gt;0),"toinen TIKAT-sarake tyhjä !",IF(AND(C61&gt;0,L61=0),"toinen TIKAT-sarake tyhjä !",""))</f>
        <v/>
      </c>
      <c r="AE61" s="133"/>
      <c r="AF61" s="133"/>
      <c r="AG61" s="133"/>
      <c r="AH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4"/>
      <c r="AT61" s="4"/>
      <c r="AU61" s="133"/>
      <c r="AV61" s="133"/>
      <c r="AW61" s="133"/>
      <c r="AX61" s="133"/>
      <c r="AY61" s="133"/>
      <c r="AZ61" s="133"/>
      <c r="BA61" s="133"/>
      <c r="BB61" s="133"/>
      <c r="BC61" s="133"/>
    </row>
    <row r="62" spans="1:55" s="112" customFormat="1" ht="30.75" customHeight="1" x14ac:dyDescent="0.25">
      <c r="A62" s="399" t="s">
        <v>16</v>
      </c>
      <c r="B62" s="128">
        <v>2</v>
      </c>
      <c r="C62" s="6">
        <v>24</v>
      </c>
      <c r="D62" s="7">
        <v>36</v>
      </c>
      <c r="E62" s="303">
        <f t="shared" ref="E62:E67" si="16">IF(C62=0," ",IF(C62=0,0,501-D62))</f>
        <v>465</v>
      </c>
      <c r="F62" s="6">
        <v>1</v>
      </c>
      <c r="G62" s="6"/>
      <c r="H62" s="311"/>
      <c r="I62" s="130"/>
      <c r="J62" s="59"/>
      <c r="K62" s="128">
        <v>2</v>
      </c>
      <c r="L62" s="6">
        <v>24</v>
      </c>
      <c r="M62" s="7"/>
      <c r="N62" s="303">
        <f t="shared" si="13"/>
        <v>501</v>
      </c>
      <c r="O62" s="6">
        <v>1</v>
      </c>
      <c r="P62" s="162"/>
      <c r="Q62" s="218"/>
      <c r="R62" s="303"/>
      <c r="S62" s="311"/>
      <c r="T62" s="133"/>
      <c r="U62" s="133"/>
      <c r="V62" s="214" t="str">
        <f t="shared" si="14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5"/>
        <v/>
      </c>
      <c r="AE62" s="133"/>
      <c r="AF62" s="133"/>
      <c r="AG62" s="133"/>
      <c r="AH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4"/>
      <c r="AT62" s="4"/>
      <c r="AU62" s="133"/>
      <c r="AV62" s="133"/>
      <c r="AW62" s="133"/>
      <c r="AX62" s="133"/>
      <c r="AY62" s="133"/>
      <c r="AZ62" s="133"/>
      <c r="BA62" s="133"/>
      <c r="BB62" s="133"/>
      <c r="BC62" s="133"/>
    </row>
    <row r="63" spans="1:55" s="112" customFormat="1" ht="30.75" customHeight="1" x14ac:dyDescent="0.25">
      <c r="A63" s="400"/>
      <c r="B63" s="128">
        <v>3</v>
      </c>
      <c r="C63" s="6">
        <v>18</v>
      </c>
      <c r="D63" s="7">
        <v>76</v>
      </c>
      <c r="E63" s="303">
        <f t="shared" si="16"/>
        <v>425</v>
      </c>
      <c r="F63" s="6">
        <v>1</v>
      </c>
      <c r="G63" s="6"/>
      <c r="H63" s="311"/>
      <c r="I63" s="130"/>
      <c r="J63" s="59"/>
      <c r="K63" s="128">
        <v>3</v>
      </c>
      <c r="L63" s="6">
        <v>18</v>
      </c>
      <c r="M63" s="7"/>
      <c r="N63" s="303">
        <f t="shared" si="13"/>
        <v>501</v>
      </c>
      <c r="O63" s="6">
        <v>2</v>
      </c>
      <c r="P63" s="162"/>
      <c r="Q63" s="218"/>
      <c r="R63" s="303"/>
      <c r="S63" s="311"/>
      <c r="T63" s="133"/>
      <c r="U63" s="133"/>
      <c r="V63" s="214" t="str">
        <f t="shared" si="14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5"/>
        <v/>
      </c>
      <c r="AE63" s="133"/>
      <c r="AF63" s="133"/>
      <c r="AG63" s="133"/>
      <c r="AH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4"/>
      <c r="AT63" s="4"/>
      <c r="AU63" s="133"/>
      <c r="AV63" s="133"/>
      <c r="AW63" s="133"/>
      <c r="AX63" s="133"/>
      <c r="AY63" s="133"/>
      <c r="AZ63" s="133"/>
      <c r="BA63" s="133"/>
      <c r="BB63" s="133"/>
      <c r="BC63" s="133"/>
    </row>
    <row r="64" spans="1:55" s="112" customFormat="1" ht="30.75" customHeight="1" x14ac:dyDescent="0.25">
      <c r="A64" s="400"/>
      <c r="B64" s="128">
        <v>4</v>
      </c>
      <c r="C64" s="6">
        <v>21</v>
      </c>
      <c r="D64" s="7">
        <v>116</v>
      </c>
      <c r="E64" s="303">
        <f t="shared" si="16"/>
        <v>385</v>
      </c>
      <c r="F64" s="6">
        <v>1</v>
      </c>
      <c r="G64" s="6"/>
      <c r="H64" s="311"/>
      <c r="I64" s="130"/>
      <c r="J64" s="59"/>
      <c r="K64" s="128">
        <v>4</v>
      </c>
      <c r="L64" s="6">
        <v>22</v>
      </c>
      <c r="M64" s="7"/>
      <c r="N64" s="303">
        <f t="shared" si="13"/>
        <v>501</v>
      </c>
      <c r="O64" s="6">
        <v>2</v>
      </c>
      <c r="P64" s="162"/>
      <c r="Q64" s="218"/>
      <c r="R64" s="303"/>
      <c r="S64" s="311"/>
      <c r="T64" s="133"/>
      <c r="U64" s="133"/>
      <c r="V64" s="214" t="str">
        <f t="shared" si="14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5"/>
        <v/>
      </c>
      <c r="AE64" s="133"/>
      <c r="AF64" s="133"/>
      <c r="AG64" s="133"/>
      <c r="AH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4"/>
      <c r="AT64" s="4"/>
      <c r="AU64" s="133"/>
      <c r="AV64" s="133"/>
      <c r="AW64" s="133"/>
      <c r="AX64" s="133"/>
      <c r="AY64" s="133"/>
      <c r="AZ64" s="133"/>
      <c r="BA64" s="133"/>
      <c r="BB64" s="133"/>
      <c r="BC64" s="133"/>
    </row>
    <row r="65" spans="1:55" s="112" customFormat="1" ht="30.75" customHeight="1" x14ac:dyDescent="0.25">
      <c r="A65" s="121"/>
      <c r="B65" s="128">
        <v>5</v>
      </c>
      <c r="C65" s="6"/>
      <c r="D65" s="7"/>
      <c r="E65" s="303" t="str">
        <f t="shared" si="16"/>
        <v xml:space="preserve"> </v>
      </c>
      <c r="F65" s="6"/>
      <c r="G65" s="6"/>
      <c r="H65" s="311"/>
      <c r="I65" s="130"/>
      <c r="J65" s="59"/>
      <c r="K65" s="128">
        <v>5</v>
      </c>
      <c r="L65" s="6"/>
      <c r="M65" s="7"/>
      <c r="N65" s="303" t="str">
        <f t="shared" si="13"/>
        <v xml:space="preserve"> </v>
      </c>
      <c r="O65" s="6"/>
      <c r="P65" s="162"/>
      <c r="Q65" s="218"/>
      <c r="R65" s="303"/>
      <c r="S65" s="311"/>
      <c r="T65" s="133"/>
      <c r="U65" s="133"/>
      <c r="V65" s="214" t="str">
        <f t="shared" si="14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5"/>
        <v/>
      </c>
      <c r="AE65" s="133"/>
      <c r="AF65" s="133"/>
      <c r="AG65" s="133"/>
      <c r="AH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4"/>
      <c r="AT65" s="4"/>
      <c r="AU65" s="133"/>
      <c r="AV65" s="133"/>
      <c r="AW65" s="133"/>
      <c r="AX65" s="133"/>
      <c r="AY65" s="133"/>
      <c r="AZ65" s="133"/>
      <c r="BA65" s="133"/>
      <c r="BB65" s="133"/>
      <c r="BC65" s="133"/>
    </row>
    <row r="66" spans="1:55" s="112" customFormat="1" ht="30.75" customHeight="1" x14ac:dyDescent="0.25">
      <c r="A66" s="121"/>
      <c r="B66" s="128">
        <v>6</v>
      </c>
      <c r="C66" s="6"/>
      <c r="D66" s="6"/>
      <c r="E66" s="303" t="str">
        <f t="shared" si="16"/>
        <v xml:space="preserve"> </v>
      </c>
      <c r="F66" s="6"/>
      <c r="G66" s="6"/>
      <c r="H66" s="311"/>
      <c r="I66" s="130"/>
      <c r="J66" s="59"/>
      <c r="K66" s="128">
        <v>6</v>
      </c>
      <c r="L66" s="6"/>
      <c r="M66" s="6"/>
      <c r="N66" s="303" t="str">
        <f t="shared" si="13"/>
        <v xml:space="preserve"> </v>
      </c>
      <c r="O66" s="6"/>
      <c r="P66" s="162"/>
      <c r="Q66" s="218"/>
      <c r="R66" s="303"/>
      <c r="S66" s="311"/>
      <c r="T66" s="133"/>
      <c r="U66" s="133"/>
      <c r="V66" s="214" t="str">
        <f t="shared" si="14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5"/>
        <v/>
      </c>
      <c r="AE66" s="133"/>
      <c r="AF66" s="133"/>
      <c r="AG66" s="133"/>
      <c r="AH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4"/>
      <c r="AT66" s="4"/>
      <c r="AU66" s="133"/>
      <c r="AV66" s="133"/>
      <c r="AW66" s="133"/>
      <c r="AX66" s="133"/>
      <c r="AY66" s="133"/>
      <c r="AZ66" s="133"/>
      <c r="BA66" s="133"/>
      <c r="BB66" s="133"/>
      <c r="BC66" s="133"/>
    </row>
    <row r="67" spans="1:55" s="112" customFormat="1" ht="30.75" customHeight="1" x14ac:dyDescent="0.25">
      <c r="A67" s="121"/>
      <c r="B67" s="128">
        <v>7</v>
      </c>
      <c r="C67" s="6"/>
      <c r="D67" s="6"/>
      <c r="E67" s="303" t="str">
        <f t="shared" si="16"/>
        <v xml:space="preserve"> </v>
      </c>
      <c r="F67" s="6"/>
      <c r="G67" s="6"/>
      <c r="H67" s="311"/>
      <c r="I67" s="130"/>
      <c r="J67" s="59"/>
      <c r="K67" s="128">
        <v>7</v>
      </c>
      <c r="L67" s="6"/>
      <c r="M67" s="6"/>
      <c r="N67" s="303" t="str">
        <f t="shared" si="13"/>
        <v xml:space="preserve"> </v>
      </c>
      <c r="O67" s="6"/>
      <c r="P67" s="162"/>
      <c r="Q67" s="218"/>
      <c r="R67" s="303"/>
      <c r="S67" s="311"/>
      <c r="T67" s="133"/>
      <c r="U67" s="133"/>
      <c r="V67" s="214" t="str">
        <f t="shared" si="14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5"/>
        <v/>
      </c>
      <c r="AE67" s="133"/>
      <c r="AF67" s="133"/>
      <c r="AG67" s="133"/>
      <c r="AH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4"/>
      <c r="AT67" s="4"/>
      <c r="AU67" s="133"/>
      <c r="AV67" s="133"/>
      <c r="AW67" s="133"/>
      <c r="AX67" s="133"/>
      <c r="AY67" s="133"/>
      <c r="AZ67" s="133"/>
      <c r="BA67" s="133"/>
      <c r="BB67" s="133"/>
      <c r="BC67" s="133"/>
    </row>
    <row r="68" spans="1:55" s="112" customFormat="1" ht="19.5" customHeight="1" thickBot="1" x14ac:dyDescent="0.35">
      <c r="A68" s="148"/>
      <c r="B68" s="137" t="s">
        <v>16</v>
      </c>
      <c r="C68" s="136">
        <f>COUNTIF(C61:C67,"&gt;0")</f>
        <v>4</v>
      </c>
      <c r="D68" s="136">
        <f>COUNTIF(D61:D67,"&gt;0")</f>
        <v>4</v>
      </c>
      <c r="E68" s="135"/>
      <c r="F68" s="141"/>
      <c r="G68" s="135"/>
      <c r="H68" s="312"/>
      <c r="I68" s="149"/>
      <c r="J68" s="150"/>
      <c r="K68" s="151"/>
      <c r="L68" s="136">
        <f>COUNTIF(L61:L67,"&gt;0")</f>
        <v>4</v>
      </c>
      <c r="M68" s="136">
        <f>COUNTIF(M61:M67,"&gt;0")</f>
        <v>0</v>
      </c>
      <c r="N68" s="135"/>
      <c r="O68" s="141"/>
      <c r="P68" s="135"/>
      <c r="Q68" s="216"/>
      <c r="R68" s="137"/>
      <c r="S68" s="312"/>
      <c r="T68" s="133"/>
      <c r="U68" s="133"/>
      <c r="V68" s="14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4"/>
      <c r="AT68" s="4"/>
      <c r="AU68" s="133"/>
      <c r="AV68" s="133"/>
      <c r="AW68" s="133"/>
      <c r="AX68" s="133"/>
      <c r="AY68" s="133"/>
      <c r="AZ68" s="133"/>
      <c r="BA68" s="133"/>
      <c r="BB68" s="133"/>
      <c r="BC68" s="133"/>
    </row>
    <row r="69" spans="1:55" s="4" customFormat="1" ht="36.75" customHeight="1" thickBot="1" x14ac:dyDescent="0.35">
      <c r="A69" s="5"/>
      <c r="C69" s="112"/>
      <c r="D69" s="112"/>
      <c r="F69" s="109"/>
      <c r="I69" s="110"/>
      <c r="J69" s="111"/>
      <c r="K69" s="110"/>
      <c r="L69" s="168"/>
      <c r="M69" s="168"/>
      <c r="O69" s="170"/>
      <c r="P69" s="112"/>
      <c r="Q69" s="133"/>
      <c r="T69" s="133"/>
      <c r="U69" s="133"/>
      <c r="V69" s="14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U69" s="133"/>
      <c r="AV69" s="133"/>
      <c r="AW69" s="133"/>
      <c r="AX69" s="133"/>
      <c r="AY69" s="133"/>
      <c r="AZ69" s="133"/>
      <c r="BA69" s="133"/>
      <c r="BB69" s="133"/>
      <c r="BC69" s="133"/>
    </row>
    <row r="70" spans="1:55" s="112" customFormat="1" ht="29.25" customHeight="1" x14ac:dyDescent="0.3">
      <c r="A70" s="113"/>
      <c r="B70" s="114" t="s">
        <v>0</v>
      </c>
      <c r="C70" s="393" t="str">
        <f>C17</f>
        <v>Selenius Peter</v>
      </c>
      <c r="D70" s="393"/>
      <c r="E70" s="393"/>
      <c r="F70" s="393"/>
      <c r="G70" s="393"/>
      <c r="H70" s="322">
        <f>IF(OR(H71="L",C70=0),0,1)</f>
        <v>1</v>
      </c>
      <c r="I70" s="144"/>
      <c r="J70" s="145"/>
      <c r="K70" s="117" t="s">
        <v>0</v>
      </c>
      <c r="L70" s="393" t="str">
        <f>J17</f>
        <v>Viinikka Veijo</v>
      </c>
      <c r="M70" s="393"/>
      <c r="N70" s="393"/>
      <c r="O70" s="393"/>
      <c r="P70" s="393"/>
      <c r="Q70" s="394"/>
      <c r="R70" s="394"/>
      <c r="S70" s="310">
        <f>IF(OR(I71="L",L70=0),0,1)</f>
        <v>1</v>
      </c>
      <c r="T70" s="133"/>
      <c r="U70" s="133"/>
      <c r="V70" s="14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4"/>
      <c r="AT70" s="4"/>
      <c r="AU70" s="133"/>
      <c r="AV70" s="133"/>
      <c r="AW70" s="133"/>
      <c r="AX70" s="133"/>
      <c r="AY70" s="133"/>
      <c r="AZ70" s="133"/>
      <c r="BA70" s="133"/>
      <c r="BB70" s="133"/>
      <c r="BC70" s="133"/>
    </row>
    <row r="71" spans="1:55" s="112" customFormat="1" x14ac:dyDescent="0.3">
      <c r="A71" s="121"/>
      <c r="B71" s="21"/>
      <c r="C71" s="21"/>
      <c r="D71" s="21"/>
      <c r="E71" s="21"/>
      <c r="F71" s="146"/>
      <c r="G71" s="21"/>
      <c r="H71" s="321"/>
      <c r="I71" s="391"/>
      <c r="J71" s="392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4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4"/>
      <c r="AT71" s="4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12" customFormat="1" x14ac:dyDescent="0.3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125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4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4"/>
      <c r="AT72" s="4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12" customFormat="1" ht="30" customHeight="1" x14ac:dyDescent="0.2">
      <c r="A73" s="121"/>
      <c r="B73" s="128">
        <v>1</v>
      </c>
      <c r="C73" s="6">
        <v>24</v>
      </c>
      <c r="D73" s="7">
        <v>25</v>
      </c>
      <c r="E73" s="303">
        <f t="shared" ref="E73:E79" si="17">IF(C73=0," ",IF(C73=0,0,501-D73))</f>
        <v>476</v>
      </c>
      <c r="F73" s="6"/>
      <c r="G73" s="6"/>
      <c r="H73" s="324">
        <f>IF(AND(H70=1,S70=0),1,IF(COUNT(C73:C79)&gt;3,IF(COUNT(D73:D79)=4,0,1),0))</f>
        <v>0</v>
      </c>
      <c r="I73" s="130"/>
      <c r="J73" s="59"/>
      <c r="K73" s="128">
        <v>1</v>
      </c>
      <c r="L73" s="6">
        <v>25</v>
      </c>
      <c r="M73" s="7"/>
      <c r="N73" s="303">
        <f t="shared" ref="N73:N79" si="18">IF(L73=0," ",IF(L73=0,0,501-M73))</f>
        <v>501</v>
      </c>
      <c r="O73" s="6">
        <v>3</v>
      </c>
      <c r="P73" s="163"/>
      <c r="Q73" s="222"/>
      <c r="R73" s="314">
        <f>IF(AND(S70=1,H70=0),1,IF(COUNT(L73:L79)&gt;3,IF(COUNT(M73:M79)=4,0,1),0))</f>
        <v>1</v>
      </c>
      <c r="S73" s="311"/>
      <c r="T73" s="133"/>
      <c r="V73" s="214" t="str">
        <f t="shared" ref="V73:V79" si="19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20">IF(AND(C73=0,L73&gt;0),"toinen TIKAT-sarake tyhjä !",IF(AND(C73&gt;0,L73=0),"toinen TIKAT-sarake tyhjä !",""))</f>
        <v/>
      </c>
      <c r="AE73" s="133"/>
      <c r="AF73" s="133"/>
      <c r="AG73" s="133"/>
      <c r="AH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4"/>
      <c r="AT73" s="4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12" customFormat="1" ht="30" customHeight="1" x14ac:dyDescent="0.25">
      <c r="A74" s="399" t="s">
        <v>17</v>
      </c>
      <c r="B74" s="128">
        <v>2</v>
      </c>
      <c r="C74" s="6">
        <v>24</v>
      </c>
      <c r="D74" s="7">
        <v>56</v>
      </c>
      <c r="E74" s="303">
        <f t="shared" si="17"/>
        <v>445</v>
      </c>
      <c r="F74" s="6"/>
      <c r="G74" s="6"/>
      <c r="H74" s="311"/>
      <c r="I74" s="130"/>
      <c r="J74" s="59"/>
      <c r="K74" s="128">
        <v>2</v>
      </c>
      <c r="L74" s="6">
        <v>22</v>
      </c>
      <c r="M74" s="7"/>
      <c r="N74" s="303">
        <f t="shared" si="18"/>
        <v>501</v>
      </c>
      <c r="O74" s="6">
        <v>1</v>
      </c>
      <c r="P74" s="163"/>
      <c r="Q74" s="222"/>
      <c r="R74" s="303"/>
      <c r="S74" s="311"/>
      <c r="T74" s="133"/>
      <c r="U74" s="133"/>
      <c r="V74" s="214" t="str">
        <f t="shared" si="19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20"/>
        <v/>
      </c>
      <c r="AE74" s="133"/>
      <c r="AF74" s="133"/>
      <c r="AG74" s="133"/>
      <c r="AH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4"/>
      <c r="AT74" s="4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112" customFormat="1" ht="30" customHeight="1" x14ac:dyDescent="0.25">
      <c r="A75" s="400"/>
      <c r="B75" s="128">
        <v>3</v>
      </c>
      <c r="C75" s="6">
        <v>21</v>
      </c>
      <c r="D75" s="7">
        <v>111</v>
      </c>
      <c r="E75" s="303">
        <f t="shared" si="17"/>
        <v>390</v>
      </c>
      <c r="F75" s="6"/>
      <c r="G75" s="6"/>
      <c r="H75" s="311"/>
      <c r="I75" s="130"/>
      <c r="J75" s="59"/>
      <c r="K75" s="128">
        <v>3</v>
      </c>
      <c r="L75" s="6">
        <v>22</v>
      </c>
      <c r="M75" s="7"/>
      <c r="N75" s="303">
        <f t="shared" si="18"/>
        <v>501</v>
      </c>
      <c r="O75" s="6">
        <v>1</v>
      </c>
      <c r="P75" s="163"/>
      <c r="Q75" s="222"/>
      <c r="R75" s="303"/>
      <c r="S75" s="311"/>
      <c r="T75" s="133"/>
      <c r="U75" s="133"/>
      <c r="V75" s="214" t="str">
        <f t="shared" si="19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20"/>
        <v/>
      </c>
      <c r="AE75" s="133"/>
      <c r="AF75" s="133"/>
      <c r="AG75" s="133"/>
      <c r="AH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4"/>
      <c r="AT75" s="4"/>
      <c r="AU75" s="133"/>
      <c r="AV75" s="133"/>
      <c r="AW75" s="133"/>
      <c r="AX75" s="133"/>
      <c r="AY75" s="133"/>
      <c r="AZ75" s="133"/>
      <c r="BA75" s="133"/>
      <c r="BB75" s="133"/>
      <c r="BC75" s="133"/>
    </row>
    <row r="76" spans="1:55" s="112" customFormat="1" ht="30" customHeight="1" x14ac:dyDescent="0.25">
      <c r="A76" s="400"/>
      <c r="B76" s="128">
        <v>4</v>
      </c>
      <c r="C76" s="6">
        <v>18</v>
      </c>
      <c r="D76" s="7">
        <v>190</v>
      </c>
      <c r="E76" s="303">
        <f t="shared" si="17"/>
        <v>311</v>
      </c>
      <c r="F76" s="6"/>
      <c r="G76" s="6"/>
      <c r="H76" s="311"/>
      <c r="I76" s="130"/>
      <c r="J76" s="59"/>
      <c r="K76" s="128">
        <v>4</v>
      </c>
      <c r="L76" s="6">
        <v>17</v>
      </c>
      <c r="M76" s="7"/>
      <c r="N76" s="303">
        <f t="shared" si="18"/>
        <v>501</v>
      </c>
      <c r="O76" s="6">
        <v>3</v>
      </c>
      <c r="P76" s="163"/>
      <c r="Q76" s="222"/>
      <c r="R76" s="303"/>
      <c r="S76" s="311"/>
      <c r="T76" s="133"/>
      <c r="U76" s="133"/>
      <c r="V76" s="214" t="str">
        <f t="shared" si="19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20"/>
        <v/>
      </c>
      <c r="AE76" s="133"/>
      <c r="AF76" s="133"/>
      <c r="AG76" s="133"/>
      <c r="AH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4"/>
      <c r="AT76" s="4"/>
      <c r="AU76" s="133"/>
      <c r="AV76" s="133"/>
      <c r="AW76" s="133"/>
      <c r="AX76" s="133"/>
      <c r="AY76" s="133"/>
      <c r="AZ76" s="133"/>
      <c r="BA76" s="133"/>
      <c r="BB76" s="133"/>
      <c r="BC76" s="133"/>
    </row>
    <row r="77" spans="1:55" s="112" customFormat="1" ht="30" customHeight="1" x14ac:dyDescent="0.25">
      <c r="A77" s="121"/>
      <c r="B77" s="128">
        <v>5</v>
      </c>
      <c r="C77" s="6"/>
      <c r="D77" s="7"/>
      <c r="E77" s="303" t="str">
        <f t="shared" si="17"/>
        <v xml:space="preserve"> </v>
      </c>
      <c r="F77" s="6"/>
      <c r="G77" s="6"/>
      <c r="H77" s="311"/>
      <c r="I77" s="130"/>
      <c r="J77" s="59"/>
      <c r="K77" s="128">
        <v>5</v>
      </c>
      <c r="L77" s="6"/>
      <c r="M77" s="7"/>
      <c r="N77" s="303" t="str">
        <f t="shared" si="18"/>
        <v xml:space="preserve"> </v>
      </c>
      <c r="O77" s="6"/>
      <c r="P77" s="163"/>
      <c r="Q77" s="222"/>
      <c r="R77" s="303"/>
      <c r="S77" s="311"/>
      <c r="T77" s="133"/>
      <c r="U77" s="133"/>
      <c r="V77" s="214" t="str">
        <f t="shared" si="19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20"/>
        <v/>
      </c>
      <c r="AE77" s="133"/>
      <c r="AF77" s="133"/>
      <c r="AG77" s="133"/>
      <c r="AH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4"/>
      <c r="AT77" s="4"/>
      <c r="AU77" s="133"/>
      <c r="AV77" s="133"/>
      <c r="AW77" s="133"/>
      <c r="AX77" s="133"/>
      <c r="AY77" s="133"/>
      <c r="AZ77" s="133"/>
      <c r="BA77" s="133"/>
      <c r="BB77" s="133"/>
      <c r="BC77" s="133"/>
    </row>
    <row r="78" spans="1:55" s="112" customFormat="1" ht="30" customHeight="1" x14ac:dyDescent="0.25">
      <c r="A78" s="121"/>
      <c r="B78" s="128">
        <v>6</v>
      </c>
      <c r="C78" s="6"/>
      <c r="D78" s="6"/>
      <c r="E78" s="303" t="str">
        <f t="shared" si="17"/>
        <v xml:space="preserve"> </v>
      </c>
      <c r="F78" s="6"/>
      <c r="G78" s="7"/>
      <c r="H78" s="311"/>
      <c r="I78" s="130"/>
      <c r="J78" s="59"/>
      <c r="K78" s="128">
        <v>6</v>
      </c>
      <c r="L78" s="6"/>
      <c r="M78" s="6"/>
      <c r="N78" s="303" t="str">
        <f t="shared" si="18"/>
        <v xml:space="preserve"> </v>
      </c>
      <c r="O78" s="6"/>
      <c r="P78" s="163"/>
      <c r="Q78" s="222"/>
      <c r="R78" s="303"/>
      <c r="S78" s="311"/>
      <c r="T78" s="133"/>
      <c r="U78" s="133"/>
      <c r="V78" s="214" t="str">
        <f t="shared" si="19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20"/>
        <v/>
      </c>
      <c r="AE78" s="133"/>
      <c r="AF78" s="133"/>
      <c r="AG78" s="133"/>
      <c r="AH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4"/>
      <c r="AT78" s="4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1:55" s="112" customFormat="1" ht="30" customHeight="1" x14ac:dyDescent="0.25">
      <c r="A79" s="121"/>
      <c r="B79" s="128">
        <v>7</v>
      </c>
      <c r="C79" s="6"/>
      <c r="D79" s="6"/>
      <c r="E79" s="303" t="str">
        <f t="shared" si="17"/>
        <v xml:space="preserve"> </v>
      </c>
      <c r="F79" s="6"/>
      <c r="G79" s="7"/>
      <c r="H79" s="311"/>
      <c r="I79" s="130"/>
      <c r="J79" s="59"/>
      <c r="K79" s="128">
        <v>7</v>
      </c>
      <c r="L79" s="6"/>
      <c r="M79" s="6"/>
      <c r="N79" s="303" t="str">
        <f t="shared" si="18"/>
        <v xml:space="preserve"> </v>
      </c>
      <c r="O79" s="6"/>
      <c r="P79" s="163"/>
      <c r="Q79" s="222"/>
      <c r="R79" s="303"/>
      <c r="S79" s="311"/>
      <c r="T79" s="133"/>
      <c r="U79" s="133"/>
      <c r="V79" s="214" t="str">
        <f t="shared" si="19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20"/>
        <v/>
      </c>
      <c r="AE79" s="133"/>
      <c r="AF79" s="133"/>
      <c r="AG79" s="133"/>
      <c r="AH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4"/>
      <c r="AT79" s="4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1:55" s="112" customFormat="1" ht="16.5" customHeight="1" thickBot="1" x14ac:dyDescent="0.35">
      <c r="A80" s="148"/>
      <c r="B80" s="135"/>
      <c r="C80" s="136">
        <f>COUNTIF(C73:C79,"&gt;0")</f>
        <v>4</v>
      </c>
      <c r="D80" s="136">
        <f>COUNTIF(D73:D79,"&gt;0")</f>
        <v>4</v>
      </c>
      <c r="E80" s="135"/>
      <c r="F80" s="141"/>
      <c r="G80" s="135"/>
      <c r="H80" s="312"/>
      <c r="I80" s="149"/>
      <c r="J80" s="150"/>
      <c r="K80" s="151"/>
      <c r="L80" s="136">
        <f>COUNTIF(L73:L79,"&gt;0")</f>
        <v>4</v>
      </c>
      <c r="M80" s="136">
        <f>COUNTIF(M73:M79,"&gt;0")</f>
        <v>0</v>
      </c>
      <c r="N80" s="135"/>
      <c r="O80" s="141"/>
      <c r="P80" s="135"/>
      <c r="Q80" s="216"/>
      <c r="R80" s="137"/>
      <c r="S80" s="312"/>
      <c r="T80" s="118"/>
      <c r="U80" s="118"/>
      <c r="V80" s="142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4"/>
      <c r="AT80" s="4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1:55" s="4" customFormat="1" ht="36" customHeight="1" thickBot="1" x14ac:dyDescent="0.35">
      <c r="A81" s="5"/>
      <c r="B81" s="4" t="s">
        <v>17</v>
      </c>
      <c r="C81" s="21"/>
      <c r="D81" s="21"/>
      <c r="E81" s="5"/>
      <c r="F81" s="52"/>
      <c r="G81" s="5"/>
      <c r="H81" s="5"/>
      <c r="I81" s="18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42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1:55" s="112" customFormat="1" ht="30" customHeight="1" x14ac:dyDescent="0.3">
      <c r="A82" s="113"/>
      <c r="B82" s="114" t="s">
        <v>0</v>
      </c>
      <c r="C82" s="420" t="str">
        <f>C14</f>
        <v>Högström Sami</v>
      </c>
      <c r="D82" s="420"/>
      <c r="E82" s="420"/>
      <c r="F82" s="420"/>
      <c r="G82" s="420"/>
      <c r="H82" s="322">
        <f>IF(OR(H83="L",C82=0),0,1)</f>
        <v>1</v>
      </c>
      <c r="I82" s="144"/>
      <c r="J82" s="145"/>
      <c r="K82" s="117" t="s">
        <v>0</v>
      </c>
      <c r="L82" s="420" t="str">
        <f>J18</f>
        <v>Takkinen Uki</v>
      </c>
      <c r="M82" s="420"/>
      <c r="N82" s="420"/>
      <c r="O82" s="420"/>
      <c r="P82" s="420"/>
      <c r="Q82" s="421"/>
      <c r="R82" s="421"/>
      <c r="S82" s="310">
        <f>IF(OR(I83="L",L82=0),0,1)</f>
        <v>1</v>
      </c>
      <c r="T82" s="133"/>
      <c r="U82" s="133"/>
      <c r="V82" s="14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4"/>
      <c r="AT82" s="4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1:55" s="112" customFormat="1" x14ac:dyDescent="0.3">
      <c r="A83" s="121"/>
      <c r="B83" s="21"/>
      <c r="C83" s="21"/>
      <c r="D83" s="21"/>
      <c r="E83" s="21"/>
      <c r="F83" s="146"/>
      <c r="G83" s="21"/>
      <c r="H83" s="321"/>
      <c r="I83" s="391"/>
      <c r="J83" s="392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4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4"/>
      <c r="AT83" s="4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1:55" s="112" customFormat="1" x14ac:dyDescent="0.3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125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4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4"/>
      <c r="AT84" s="4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1:55" s="112" customFormat="1" ht="30.75" customHeight="1" x14ac:dyDescent="0.2">
      <c r="A85" s="121"/>
      <c r="B85" s="128">
        <v>1</v>
      </c>
      <c r="C85" s="6">
        <v>18</v>
      </c>
      <c r="D85" s="7">
        <v>4</v>
      </c>
      <c r="E85" s="303">
        <f t="shared" ref="E85:E91" si="21">IF(C85=0," ",IF(C85=0,0,501-D85))</f>
        <v>497</v>
      </c>
      <c r="F85" s="6">
        <v>3</v>
      </c>
      <c r="G85" s="6"/>
      <c r="H85" s="324">
        <f>IF(AND(H82=1,S82=0),1,IF(COUNT(C85:C91)&gt;3,IF(COUNT(D85:D91)=4,0,1),0))</f>
        <v>1</v>
      </c>
      <c r="I85" s="130"/>
      <c r="J85" s="59"/>
      <c r="K85" s="128">
        <v>1</v>
      </c>
      <c r="L85" s="6">
        <v>17</v>
      </c>
      <c r="M85" s="7"/>
      <c r="N85" s="303">
        <f t="shared" ref="N85:N91" si="22">IF(L85=0," ",IF(L85=0,0,501-M85))</f>
        <v>501</v>
      </c>
      <c r="O85" s="6">
        <v>1</v>
      </c>
      <c r="P85" s="162"/>
      <c r="Q85" s="218"/>
      <c r="R85" s="314">
        <f>IF(AND(S82=1,H82=0),1,IF(COUNT(L85:L91)&gt;3,IF(COUNT(M85:M91)=4,0,1),0))</f>
        <v>0</v>
      </c>
      <c r="S85" s="311"/>
      <c r="T85" s="133"/>
      <c r="V85" s="214" t="str">
        <f t="shared" ref="V85:V91" si="23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4">IF(AND(C85=0,L85&gt;0),"toinen TIKAT-sarake tyhjä !",IF(AND(C85&gt;0,L85=0),"toinen TIKAT-sarake tyhjä !",""))</f>
        <v/>
      </c>
      <c r="AE85" s="133"/>
      <c r="AF85" s="133"/>
      <c r="AG85" s="133"/>
      <c r="AH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4"/>
      <c r="AT85" s="4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1:55" s="112" customFormat="1" ht="30.75" customHeight="1" x14ac:dyDescent="0.25">
      <c r="A86" s="399" t="s">
        <v>18</v>
      </c>
      <c r="B86" s="128">
        <v>2</v>
      </c>
      <c r="C86" s="6">
        <v>21</v>
      </c>
      <c r="D86" s="7"/>
      <c r="E86" s="303">
        <f t="shared" si="21"/>
        <v>501</v>
      </c>
      <c r="F86" s="6">
        <v>1</v>
      </c>
      <c r="G86" s="6"/>
      <c r="H86" s="311"/>
      <c r="I86" s="130"/>
      <c r="J86" s="59"/>
      <c r="K86" s="128">
        <v>2</v>
      </c>
      <c r="L86" s="6">
        <v>21</v>
      </c>
      <c r="M86" s="7">
        <v>32</v>
      </c>
      <c r="N86" s="303">
        <f t="shared" si="22"/>
        <v>469</v>
      </c>
      <c r="O86" s="6">
        <v>1</v>
      </c>
      <c r="P86" s="162"/>
      <c r="Q86" s="218"/>
      <c r="R86" s="303"/>
      <c r="S86" s="311"/>
      <c r="T86" s="133"/>
      <c r="U86" s="133"/>
      <c r="V86" s="214" t="str">
        <f t="shared" si="23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4"/>
        <v/>
      </c>
      <c r="AE86" s="133"/>
      <c r="AF86" s="133"/>
      <c r="AG86" s="133"/>
      <c r="AH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4"/>
      <c r="AT86" s="4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1:55" s="112" customFormat="1" ht="30.75" customHeight="1" x14ac:dyDescent="0.25">
      <c r="A87" s="400"/>
      <c r="B87" s="128">
        <v>3</v>
      </c>
      <c r="C87" s="6">
        <v>14</v>
      </c>
      <c r="D87" s="7"/>
      <c r="E87" s="303">
        <f t="shared" si="21"/>
        <v>501</v>
      </c>
      <c r="F87" s="6">
        <v>3</v>
      </c>
      <c r="G87" s="6"/>
      <c r="H87" s="311"/>
      <c r="I87" s="130"/>
      <c r="J87" s="59"/>
      <c r="K87" s="128">
        <v>3</v>
      </c>
      <c r="L87" s="6">
        <v>12</v>
      </c>
      <c r="M87" s="7">
        <v>293</v>
      </c>
      <c r="N87" s="303">
        <f t="shared" si="22"/>
        <v>208</v>
      </c>
      <c r="O87" s="6">
        <v>1</v>
      </c>
      <c r="P87" s="162"/>
      <c r="Q87" s="218"/>
      <c r="R87" s="303"/>
      <c r="S87" s="311"/>
      <c r="T87" s="133"/>
      <c r="U87" s="133"/>
      <c r="V87" s="214" t="str">
        <f t="shared" si="23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4"/>
        <v/>
      </c>
      <c r="AE87" s="133"/>
      <c r="AF87" s="133"/>
      <c r="AG87" s="133"/>
      <c r="AH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4"/>
      <c r="AT87" s="4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1:55" s="112" customFormat="1" ht="30.75" customHeight="1" x14ac:dyDescent="0.25">
      <c r="A88" s="400"/>
      <c r="B88" s="128">
        <v>4</v>
      </c>
      <c r="C88" s="6">
        <v>16</v>
      </c>
      <c r="D88" s="7"/>
      <c r="E88" s="303">
        <f t="shared" si="21"/>
        <v>501</v>
      </c>
      <c r="F88" s="6">
        <v>2</v>
      </c>
      <c r="G88" s="6"/>
      <c r="H88" s="311"/>
      <c r="I88" s="130"/>
      <c r="J88" s="59"/>
      <c r="K88" s="128">
        <v>4</v>
      </c>
      <c r="L88" s="6">
        <v>18</v>
      </c>
      <c r="M88" s="7">
        <v>48</v>
      </c>
      <c r="N88" s="303">
        <f t="shared" si="22"/>
        <v>453</v>
      </c>
      <c r="O88" s="6"/>
      <c r="P88" s="162"/>
      <c r="Q88" s="218"/>
      <c r="R88" s="303"/>
      <c r="S88" s="311"/>
      <c r="T88" s="133"/>
      <c r="U88" s="133"/>
      <c r="V88" s="214" t="str">
        <f t="shared" si="23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4"/>
        <v/>
      </c>
      <c r="AE88" s="133"/>
      <c r="AF88" s="133"/>
      <c r="AG88" s="133"/>
      <c r="AH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4"/>
      <c r="AT88" s="4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1:55" s="112" customFormat="1" ht="30.75" customHeight="1" x14ac:dyDescent="0.25">
      <c r="A89" s="121"/>
      <c r="B89" s="128">
        <v>5</v>
      </c>
      <c r="C89" s="6">
        <v>18</v>
      </c>
      <c r="D89" s="7"/>
      <c r="E89" s="303">
        <f t="shared" si="21"/>
        <v>501</v>
      </c>
      <c r="F89" s="6">
        <v>2</v>
      </c>
      <c r="G89" s="6"/>
      <c r="H89" s="311"/>
      <c r="I89" s="130"/>
      <c r="J89" s="59"/>
      <c r="K89" s="128">
        <v>5</v>
      </c>
      <c r="L89" s="6">
        <v>15</v>
      </c>
      <c r="M89" s="7">
        <v>152</v>
      </c>
      <c r="N89" s="303">
        <f t="shared" si="22"/>
        <v>349</v>
      </c>
      <c r="O89" s="6">
        <v>1</v>
      </c>
      <c r="P89" s="162"/>
      <c r="Q89" s="218"/>
      <c r="R89" s="303"/>
      <c r="S89" s="311"/>
      <c r="T89" s="133"/>
      <c r="U89" s="133"/>
      <c r="V89" s="214" t="str">
        <f t="shared" si="23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4"/>
        <v/>
      </c>
      <c r="AE89" s="133"/>
      <c r="AF89" s="133"/>
      <c r="AG89" s="133"/>
      <c r="AH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4"/>
      <c r="AT89" s="4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1:55" s="112" customFormat="1" ht="30.75" customHeight="1" x14ac:dyDescent="0.25">
      <c r="A90" s="121"/>
      <c r="B90" s="128">
        <v>6</v>
      </c>
      <c r="C90" s="6"/>
      <c r="D90" s="6"/>
      <c r="E90" s="303" t="str">
        <f t="shared" si="21"/>
        <v xml:space="preserve"> </v>
      </c>
      <c r="F90" s="6"/>
      <c r="G90" s="7"/>
      <c r="H90" s="311"/>
      <c r="I90" s="130"/>
      <c r="J90" s="59"/>
      <c r="K90" s="128">
        <v>6</v>
      </c>
      <c r="L90" s="6"/>
      <c r="M90" s="6"/>
      <c r="N90" s="303" t="str">
        <f t="shared" si="22"/>
        <v xml:space="preserve"> </v>
      </c>
      <c r="O90" s="6"/>
      <c r="P90" s="162"/>
      <c r="Q90" s="218"/>
      <c r="R90" s="303"/>
      <c r="S90" s="311"/>
      <c r="T90" s="133"/>
      <c r="U90" s="133"/>
      <c r="V90" s="214" t="str">
        <f t="shared" si="23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4"/>
        <v/>
      </c>
      <c r="AE90" s="133"/>
      <c r="AF90" s="133"/>
      <c r="AG90" s="133"/>
      <c r="AH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4"/>
      <c r="AT90" s="4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1:55" s="112" customFormat="1" ht="30.75" customHeight="1" x14ac:dyDescent="0.25">
      <c r="A91" s="121"/>
      <c r="B91" s="128">
        <v>7</v>
      </c>
      <c r="C91" s="6"/>
      <c r="D91" s="6"/>
      <c r="E91" s="303" t="str">
        <f t="shared" si="21"/>
        <v xml:space="preserve"> </v>
      </c>
      <c r="F91" s="6"/>
      <c r="G91" s="7"/>
      <c r="H91" s="311"/>
      <c r="I91" s="130"/>
      <c r="J91" s="59"/>
      <c r="K91" s="128">
        <v>7</v>
      </c>
      <c r="L91" s="6"/>
      <c r="M91" s="6"/>
      <c r="N91" s="303" t="str">
        <f t="shared" si="22"/>
        <v xml:space="preserve"> </v>
      </c>
      <c r="O91" s="6"/>
      <c r="P91" s="162"/>
      <c r="Q91" s="218"/>
      <c r="R91" s="303"/>
      <c r="S91" s="311"/>
      <c r="T91" s="133"/>
      <c r="U91" s="133"/>
      <c r="V91" s="214" t="str">
        <f t="shared" si="23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4"/>
        <v/>
      </c>
      <c r="AE91" s="133"/>
      <c r="AF91" s="133"/>
      <c r="AG91" s="133"/>
      <c r="AH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4"/>
      <c r="AT91" s="4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1:55" s="112" customFormat="1" ht="15" customHeight="1" thickBot="1" x14ac:dyDescent="0.35">
      <c r="A92" s="148"/>
      <c r="B92" s="135"/>
      <c r="C92" s="136">
        <f>COUNTIF(C85:C91,"&gt;0")</f>
        <v>5</v>
      </c>
      <c r="D92" s="136">
        <f>COUNTIF(D85:D91,"&gt;0")</f>
        <v>1</v>
      </c>
      <c r="E92" s="152"/>
      <c r="F92" s="152"/>
      <c r="G92" s="152"/>
      <c r="H92" s="312"/>
      <c r="I92" s="149"/>
      <c r="J92" s="150"/>
      <c r="K92" s="135"/>
      <c r="L92" s="136">
        <f>COUNTIF(L85:L91,"&gt;0")</f>
        <v>5</v>
      </c>
      <c r="M92" s="136">
        <f>COUNTIF(M85:M91,"&gt;0")</f>
        <v>4</v>
      </c>
      <c r="N92" s="136"/>
      <c r="O92" s="152"/>
      <c r="P92" s="156"/>
      <c r="Q92" s="223"/>
      <c r="R92" s="136"/>
      <c r="S92" s="312"/>
      <c r="T92" s="133"/>
      <c r="U92" s="133"/>
      <c r="V92" s="14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4"/>
      <c r="AT92" s="4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1:55" s="4" customFormat="1" ht="36.75" customHeight="1" thickBot="1" x14ac:dyDescent="0.35">
      <c r="A93" s="5"/>
      <c r="B93" s="4" t="s">
        <v>18</v>
      </c>
      <c r="C93" s="112"/>
      <c r="D93" s="112"/>
      <c r="F93" s="109"/>
      <c r="I93" s="110"/>
      <c r="J93" s="111"/>
      <c r="K93" s="110"/>
      <c r="L93" s="168"/>
      <c r="M93" s="168"/>
      <c r="O93" s="170"/>
      <c r="P93" s="112"/>
      <c r="Q93" s="133"/>
      <c r="T93" s="133"/>
      <c r="U93" s="133"/>
      <c r="V93" s="14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1:55" s="112" customFormat="1" ht="27.75" customHeight="1" x14ac:dyDescent="0.3">
      <c r="A94" s="113"/>
      <c r="B94" s="114" t="s">
        <v>0</v>
      </c>
      <c r="C94" s="420" t="str">
        <f>C15</f>
        <v>Ek Matti</v>
      </c>
      <c r="D94" s="420"/>
      <c r="E94" s="420"/>
      <c r="F94" s="420"/>
      <c r="G94" s="420"/>
      <c r="H94" s="322">
        <f>IF(OR(H95="L",C94=0),0,1)</f>
        <v>1</v>
      </c>
      <c r="I94" s="144"/>
      <c r="J94" s="145"/>
      <c r="K94" s="117" t="s">
        <v>0</v>
      </c>
      <c r="L94" s="420" t="str">
        <f>J19</f>
        <v>Finnilä Pauli</v>
      </c>
      <c r="M94" s="420"/>
      <c r="N94" s="420"/>
      <c r="O94" s="420"/>
      <c r="P94" s="420"/>
      <c r="Q94" s="421"/>
      <c r="R94" s="421"/>
      <c r="S94" s="310">
        <f>IF(OR(I95="L",L94=0),0,1)</f>
        <v>1</v>
      </c>
      <c r="T94" s="133"/>
      <c r="U94" s="133"/>
      <c r="V94" s="14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4"/>
      <c r="AT94" s="4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1:55" s="112" customFormat="1" x14ac:dyDescent="0.3">
      <c r="A95" s="121"/>
      <c r="B95" s="21"/>
      <c r="C95" s="21"/>
      <c r="D95" s="21"/>
      <c r="E95" s="21"/>
      <c r="F95" s="146"/>
      <c r="G95" s="21"/>
      <c r="H95" s="321"/>
      <c r="I95" s="391"/>
      <c r="J95" s="392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4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4"/>
      <c r="AT95" s="4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1:55" s="112" customFormat="1" x14ac:dyDescent="0.3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125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4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4"/>
      <c r="AT96" s="4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1:55" s="112" customFormat="1" ht="30" customHeight="1" x14ac:dyDescent="0.2">
      <c r="A97" s="121"/>
      <c r="B97" s="128">
        <v>1</v>
      </c>
      <c r="C97" s="6">
        <v>18</v>
      </c>
      <c r="D97" s="7">
        <v>12</v>
      </c>
      <c r="E97" s="303">
        <f t="shared" ref="E97:E103" si="25">IF(C97=0," ",IF(C97=0,0,501-D97))</f>
        <v>489</v>
      </c>
      <c r="F97" s="6">
        <v>1</v>
      </c>
      <c r="G97" s="6"/>
      <c r="H97" s="324">
        <f>IF(AND(H94=1,S94=0),1,IF(COUNT(C97:C103)&gt;3,IF(COUNT(D97:D103)=4,0,1),0))</f>
        <v>0</v>
      </c>
      <c r="I97" s="130"/>
      <c r="J97" s="59"/>
      <c r="K97" s="128">
        <v>1</v>
      </c>
      <c r="L97" s="6">
        <v>19</v>
      </c>
      <c r="M97" s="7"/>
      <c r="N97" s="303">
        <f t="shared" ref="N97:N103" si="26">IF(L97=0," ",IF(L97=0,0,501-M97))</f>
        <v>501</v>
      </c>
      <c r="O97" s="6">
        <v>2</v>
      </c>
      <c r="P97" s="162"/>
      <c r="Q97" s="218"/>
      <c r="R97" s="314">
        <f>IF(AND(S94=1,H94=0),1,IF(COUNT(L97:L103)&gt;3,IF(COUNT(M97:M103)=4,0,1),0))</f>
        <v>1</v>
      </c>
      <c r="S97" s="311"/>
      <c r="T97" s="133"/>
      <c r="V97" s="214" t="str">
        <f t="shared" ref="V97:V103" si="27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8">IF(AND(C97=0,L97&gt;0),"toinen TIKAT-sarake tyhjä !",IF(AND(C97&gt;0,L97=0),"toinen TIKAT-sarake tyhjä !",""))</f>
        <v/>
      </c>
      <c r="AE97" s="133"/>
      <c r="AF97" s="133"/>
      <c r="AG97" s="133"/>
      <c r="AH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4"/>
      <c r="AT97" s="4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1:55" s="112" customFormat="1" ht="30" customHeight="1" x14ac:dyDescent="0.25">
      <c r="A98" s="399" t="s">
        <v>19</v>
      </c>
      <c r="B98" s="128">
        <v>2</v>
      </c>
      <c r="C98" s="6">
        <v>18</v>
      </c>
      <c r="D98" s="7">
        <v>72</v>
      </c>
      <c r="E98" s="303">
        <f t="shared" si="25"/>
        <v>429</v>
      </c>
      <c r="F98" s="6">
        <v>1</v>
      </c>
      <c r="G98" s="6"/>
      <c r="H98" s="311"/>
      <c r="I98" s="130"/>
      <c r="J98" s="59"/>
      <c r="K98" s="128">
        <v>2</v>
      </c>
      <c r="L98" s="6">
        <v>18</v>
      </c>
      <c r="M98" s="7"/>
      <c r="N98" s="303">
        <f t="shared" si="26"/>
        <v>501</v>
      </c>
      <c r="O98" s="6">
        <v>3</v>
      </c>
      <c r="P98" s="162"/>
      <c r="Q98" s="218"/>
      <c r="R98" s="303"/>
      <c r="S98" s="311"/>
      <c r="T98" s="133"/>
      <c r="U98" s="133"/>
      <c r="V98" s="214" t="str">
        <f t="shared" si="27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8"/>
        <v/>
      </c>
      <c r="AE98" s="133"/>
      <c r="AF98" s="133"/>
      <c r="AG98" s="133"/>
      <c r="AH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4"/>
      <c r="AT98" s="4"/>
      <c r="AU98" s="133"/>
      <c r="AV98" s="133"/>
      <c r="AW98" s="133"/>
      <c r="AX98" s="133"/>
      <c r="AY98" s="133"/>
      <c r="AZ98" s="133"/>
      <c r="BA98" s="133"/>
      <c r="BB98" s="133"/>
      <c r="BC98" s="133"/>
    </row>
    <row r="99" spans="1:55" s="112" customFormat="1" ht="30" customHeight="1" x14ac:dyDescent="0.25">
      <c r="A99" s="400"/>
      <c r="B99" s="128">
        <v>3</v>
      </c>
      <c r="C99" s="6">
        <v>15</v>
      </c>
      <c r="D99" s="7">
        <v>200</v>
      </c>
      <c r="E99" s="303">
        <f t="shared" si="25"/>
        <v>301</v>
      </c>
      <c r="F99" s="6">
        <v>1</v>
      </c>
      <c r="G99" s="6"/>
      <c r="H99" s="311"/>
      <c r="I99" s="130"/>
      <c r="J99" s="59"/>
      <c r="K99" s="128">
        <v>3</v>
      </c>
      <c r="L99" s="6">
        <v>17</v>
      </c>
      <c r="M99" s="7"/>
      <c r="N99" s="303">
        <f t="shared" si="26"/>
        <v>501</v>
      </c>
      <c r="O99" s="6">
        <v>3</v>
      </c>
      <c r="P99" s="162"/>
      <c r="Q99" s="218"/>
      <c r="R99" s="303"/>
      <c r="S99" s="311"/>
      <c r="T99" s="133"/>
      <c r="U99" s="133"/>
      <c r="V99" s="214" t="str">
        <f t="shared" si="27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8"/>
        <v/>
      </c>
      <c r="AE99" s="133"/>
      <c r="AF99" s="133"/>
      <c r="AG99" s="133"/>
      <c r="AH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4"/>
      <c r="AT99" s="4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1:55" s="112" customFormat="1" ht="30" customHeight="1" x14ac:dyDescent="0.25">
      <c r="A100" s="400"/>
      <c r="B100" s="128">
        <v>4</v>
      </c>
      <c r="C100" s="6">
        <v>27</v>
      </c>
      <c r="D100" s="7">
        <v>10</v>
      </c>
      <c r="E100" s="303">
        <f t="shared" si="25"/>
        <v>491</v>
      </c>
      <c r="F100" s="6"/>
      <c r="G100" s="6"/>
      <c r="H100" s="311"/>
      <c r="I100" s="130"/>
      <c r="J100" s="59"/>
      <c r="K100" s="128">
        <v>4</v>
      </c>
      <c r="L100" s="6">
        <v>27</v>
      </c>
      <c r="M100" s="7"/>
      <c r="N100" s="303">
        <f t="shared" si="26"/>
        <v>501</v>
      </c>
      <c r="O100" s="6"/>
      <c r="P100" s="162"/>
      <c r="Q100" s="218"/>
      <c r="R100" s="303"/>
      <c r="S100" s="311"/>
      <c r="T100" s="133"/>
      <c r="U100" s="133"/>
      <c r="V100" s="214" t="str">
        <f t="shared" si="27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8"/>
        <v/>
      </c>
      <c r="AE100" s="133"/>
      <c r="AF100" s="133"/>
      <c r="AG100" s="133"/>
      <c r="AH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4"/>
      <c r="AT100" s="4"/>
      <c r="AU100" s="133"/>
      <c r="AV100" s="133"/>
      <c r="AW100" s="133"/>
      <c r="AX100" s="133"/>
      <c r="AY100" s="133"/>
      <c r="AZ100" s="133"/>
      <c r="BA100" s="133"/>
      <c r="BB100" s="133"/>
      <c r="BC100" s="133"/>
    </row>
    <row r="101" spans="1:55" s="112" customFormat="1" ht="30" customHeight="1" x14ac:dyDescent="0.25">
      <c r="A101" s="121"/>
      <c r="B101" s="128">
        <v>5</v>
      </c>
      <c r="C101" s="6"/>
      <c r="D101" s="7"/>
      <c r="E101" s="303" t="str">
        <f t="shared" si="25"/>
        <v xml:space="preserve"> </v>
      </c>
      <c r="F101" s="6"/>
      <c r="G101" s="6"/>
      <c r="H101" s="311"/>
      <c r="I101" s="130"/>
      <c r="J101" s="59"/>
      <c r="K101" s="128">
        <v>5</v>
      </c>
      <c r="L101" s="6"/>
      <c r="M101" s="7"/>
      <c r="N101" s="303" t="str">
        <f t="shared" si="26"/>
        <v xml:space="preserve"> </v>
      </c>
      <c r="O101" s="6"/>
      <c r="P101" s="162"/>
      <c r="Q101" s="218"/>
      <c r="R101" s="303"/>
      <c r="S101" s="311"/>
      <c r="T101" s="133"/>
      <c r="U101" s="133"/>
      <c r="V101" s="214" t="str">
        <f t="shared" si="27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8"/>
        <v/>
      </c>
      <c r="AE101" s="133"/>
      <c r="AF101" s="133"/>
      <c r="AG101" s="133"/>
      <c r="AH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4"/>
      <c r="AT101" s="4"/>
      <c r="AU101" s="133"/>
      <c r="AV101" s="133"/>
      <c r="AW101" s="133"/>
      <c r="AX101" s="133"/>
      <c r="AY101" s="133"/>
      <c r="AZ101" s="133"/>
      <c r="BA101" s="133"/>
      <c r="BB101" s="133"/>
      <c r="BC101" s="133"/>
    </row>
    <row r="102" spans="1:55" s="112" customFormat="1" ht="30" customHeight="1" x14ac:dyDescent="0.25">
      <c r="A102" s="121"/>
      <c r="B102" s="128">
        <v>6</v>
      </c>
      <c r="C102" s="6"/>
      <c r="D102" s="6"/>
      <c r="E102" s="303" t="str">
        <f t="shared" si="25"/>
        <v xml:space="preserve"> </v>
      </c>
      <c r="F102" s="6"/>
      <c r="G102" s="7"/>
      <c r="H102" s="311"/>
      <c r="I102" s="130"/>
      <c r="J102" s="59"/>
      <c r="K102" s="128">
        <v>6</v>
      </c>
      <c r="L102" s="6"/>
      <c r="M102" s="6"/>
      <c r="N102" s="303" t="str">
        <f t="shared" si="26"/>
        <v xml:space="preserve"> </v>
      </c>
      <c r="O102" s="6"/>
      <c r="P102" s="162"/>
      <c r="Q102" s="218"/>
      <c r="R102" s="303"/>
      <c r="S102" s="311"/>
      <c r="T102" s="133"/>
      <c r="U102" s="133"/>
      <c r="V102" s="214" t="str">
        <f t="shared" si="27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8"/>
        <v/>
      </c>
      <c r="AE102" s="133"/>
      <c r="AF102" s="133"/>
      <c r="AG102" s="133"/>
      <c r="AH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4"/>
      <c r="AT102" s="4"/>
      <c r="AU102" s="133"/>
      <c r="AV102" s="133"/>
      <c r="AW102" s="133"/>
      <c r="AX102" s="133"/>
      <c r="AY102" s="133"/>
      <c r="AZ102" s="133"/>
      <c r="BA102" s="133"/>
      <c r="BB102" s="133"/>
      <c r="BC102" s="133"/>
    </row>
    <row r="103" spans="1:55" s="112" customFormat="1" ht="30" customHeight="1" x14ac:dyDescent="0.25">
      <c r="A103" s="121"/>
      <c r="B103" s="128">
        <v>7</v>
      </c>
      <c r="C103" s="6"/>
      <c r="D103" s="6"/>
      <c r="E103" s="303" t="str">
        <f t="shared" si="25"/>
        <v xml:space="preserve"> </v>
      </c>
      <c r="F103" s="6"/>
      <c r="G103" s="7"/>
      <c r="H103" s="311"/>
      <c r="I103" s="130"/>
      <c r="J103" s="59"/>
      <c r="K103" s="128">
        <v>7</v>
      </c>
      <c r="L103" s="6"/>
      <c r="M103" s="6"/>
      <c r="N103" s="303" t="str">
        <f t="shared" si="26"/>
        <v xml:space="preserve"> </v>
      </c>
      <c r="O103" s="6"/>
      <c r="P103" s="162"/>
      <c r="Q103" s="218"/>
      <c r="R103" s="303"/>
      <c r="S103" s="311"/>
      <c r="T103" s="133"/>
      <c r="U103" s="133"/>
      <c r="V103" s="214" t="str">
        <f t="shared" si="27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8"/>
        <v/>
      </c>
      <c r="AE103" s="133"/>
      <c r="AF103" s="133"/>
      <c r="AG103" s="133"/>
      <c r="AH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4"/>
      <c r="AT103" s="4"/>
      <c r="AU103" s="133"/>
      <c r="AV103" s="133"/>
      <c r="AW103" s="133"/>
      <c r="AX103" s="133"/>
      <c r="AY103" s="133"/>
      <c r="AZ103" s="133"/>
      <c r="BA103" s="133"/>
      <c r="BB103" s="133"/>
      <c r="BC103" s="133"/>
    </row>
    <row r="104" spans="1:55" s="112" customFormat="1" ht="15" customHeight="1" thickBot="1" x14ac:dyDescent="0.3">
      <c r="A104" s="148"/>
      <c r="B104" s="135"/>
      <c r="C104" s="136">
        <f>COUNTIF(C97:C103,"&gt;0")</f>
        <v>4</v>
      </c>
      <c r="D104" s="136">
        <f>COUNTIF(D97:D103,"&gt;0")</f>
        <v>4</v>
      </c>
      <c r="E104" s="152"/>
      <c r="F104" s="152"/>
      <c r="G104" s="152"/>
      <c r="H104" s="312"/>
      <c r="I104" s="149"/>
      <c r="J104" s="150"/>
      <c r="K104" s="135"/>
      <c r="L104" s="136">
        <f>COUNTIF(L97:L103,"&gt;0")</f>
        <v>4</v>
      </c>
      <c r="M104" s="136">
        <f>COUNTIF(M97:M103,"&gt;0")</f>
        <v>0</v>
      </c>
      <c r="N104" s="152"/>
      <c r="O104" s="152"/>
      <c r="P104" s="156"/>
      <c r="Q104" s="223"/>
      <c r="R104" s="136"/>
      <c r="S104" s="312"/>
      <c r="T104" s="133"/>
      <c r="U104" s="133"/>
      <c r="V104" s="207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4"/>
      <c r="AT104" s="4"/>
      <c r="AU104" s="133"/>
      <c r="AV104" s="133"/>
      <c r="AW104" s="133"/>
      <c r="AX104" s="133"/>
      <c r="AY104" s="133"/>
      <c r="AZ104" s="133"/>
      <c r="BA104" s="133"/>
      <c r="BB104" s="133"/>
      <c r="BC104" s="133"/>
    </row>
    <row r="105" spans="1:55" s="4" customFormat="1" ht="37.5" customHeight="1" thickBot="1" x14ac:dyDescent="0.3">
      <c r="A105" s="5"/>
      <c r="B105" s="4" t="s">
        <v>19</v>
      </c>
      <c r="C105" s="112"/>
      <c r="D105" s="112"/>
      <c r="F105" s="109"/>
      <c r="I105" s="110"/>
      <c r="J105" s="111"/>
      <c r="K105" s="110"/>
      <c r="L105" s="168"/>
      <c r="M105" s="168"/>
      <c r="O105" s="170"/>
      <c r="P105" s="112"/>
      <c r="Q105" s="133"/>
      <c r="T105" s="133"/>
      <c r="U105" s="133"/>
      <c r="V105" s="207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</row>
    <row r="106" spans="1:55" s="112" customFormat="1" ht="28.5" customHeight="1" x14ac:dyDescent="0.25">
      <c r="A106" s="113"/>
      <c r="B106" s="114" t="s">
        <v>0</v>
      </c>
      <c r="C106" s="420" t="str">
        <f>C16</f>
        <v>Kinnunen Tomi</v>
      </c>
      <c r="D106" s="420"/>
      <c r="E106" s="420"/>
      <c r="F106" s="420"/>
      <c r="G106" s="420"/>
      <c r="H106" s="322">
        <f>IF(OR(H107="L",C106=0),0,1)</f>
        <v>1</v>
      </c>
      <c r="I106" s="144"/>
      <c r="J106" s="145"/>
      <c r="K106" s="117" t="s">
        <v>0</v>
      </c>
      <c r="L106" s="420" t="str">
        <f>J20</f>
        <v>Viinikka Veijo</v>
      </c>
      <c r="M106" s="420"/>
      <c r="N106" s="420"/>
      <c r="O106" s="420"/>
      <c r="P106" s="420"/>
      <c r="Q106" s="421"/>
      <c r="R106" s="421"/>
      <c r="S106" s="310">
        <f>IF(OR(I107="L",L106=0),0,1)</f>
        <v>1</v>
      </c>
      <c r="T106" s="133"/>
      <c r="U106" s="133"/>
      <c r="V106" s="207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4"/>
      <c r="AT106" s="4"/>
      <c r="AU106" s="133"/>
      <c r="AV106" s="133"/>
      <c r="AW106" s="133"/>
      <c r="AX106" s="133"/>
      <c r="AY106" s="133"/>
      <c r="AZ106" s="133"/>
      <c r="BA106" s="133"/>
      <c r="BB106" s="133"/>
      <c r="BC106" s="133"/>
    </row>
    <row r="107" spans="1:55" s="112" customFormat="1" ht="18" x14ac:dyDescent="0.25">
      <c r="A107" s="121"/>
      <c r="B107" s="21"/>
      <c r="C107" s="21"/>
      <c r="D107" s="21"/>
      <c r="E107" s="21"/>
      <c r="F107" s="146"/>
      <c r="G107" s="21"/>
      <c r="H107" s="321"/>
      <c r="I107" s="391"/>
      <c r="J107" s="392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207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4"/>
      <c r="AT107" s="4"/>
      <c r="AU107" s="133"/>
      <c r="AV107" s="133"/>
      <c r="AW107" s="133"/>
      <c r="AX107" s="133"/>
      <c r="AY107" s="133"/>
      <c r="AZ107" s="133"/>
      <c r="BA107" s="133"/>
      <c r="BB107" s="133"/>
      <c r="BC107" s="133"/>
    </row>
    <row r="108" spans="1:55" s="112" customFormat="1" ht="18" x14ac:dyDescent="0.25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125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207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4"/>
      <c r="AT108" s="4"/>
      <c r="AU108" s="133"/>
      <c r="AV108" s="133"/>
      <c r="AW108" s="133"/>
      <c r="AX108" s="133"/>
      <c r="AY108" s="133"/>
      <c r="AZ108" s="133"/>
      <c r="BA108" s="133"/>
      <c r="BB108" s="133"/>
      <c r="BC108" s="133"/>
    </row>
    <row r="109" spans="1:55" s="112" customFormat="1" ht="30" customHeight="1" x14ac:dyDescent="0.2">
      <c r="A109" s="121"/>
      <c r="B109" s="128">
        <v>1</v>
      </c>
      <c r="C109" s="6">
        <v>21</v>
      </c>
      <c r="D109" s="7">
        <v>83</v>
      </c>
      <c r="E109" s="303">
        <f t="shared" ref="E109:E115" si="29">IF(C109=0," ",IF(C109=0,0,501-D109))</f>
        <v>418</v>
      </c>
      <c r="F109" s="6">
        <v>1</v>
      </c>
      <c r="G109" s="6"/>
      <c r="H109" s="324">
        <f>IF(AND(H106=1,S106=0),1,IF(COUNT(C109:C115)&gt;3,IF(COUNT(D109:D115)=4,0,1),0))</f>
        <v>0</v>
      </c>
      <c r="I109" s="130"/>
      <c r="J109" s="59"/>
      <c r="K109" s="128">
        <v>1</v>
      </c>
      <c r="L109" s="6">
        <v>20</v>
      </c>
      <c r="M109" s="7"/>
      <c r="N109" s="303">
        <f t="shared" ref="N109:N115" si="30">IF(L109=0," ",IF(L109=0,0,501-M109))</f>
        <v>501</v>
      </c>
      <c r="O109" s="6">
        <v>2</v>
      </c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214" t="str">
        <f t="shared" ref="V109:V115" si="31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2">IF(AND(C109=0,L109&gt;0),"toinen TIKAT-sarake tyhjä !",IF(AND(C109&gt;0,L109=0),"toinen TIKAT-sarake tyhjä !",""))</f>
        <v/>
      </c>
      <c r="AE109" s="133"/>
      <c r="AF109" s="133"/>
      <c r="AG109" s="133"/>
      <c r="AH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4"/>
      <c r="AT109" s="4"/>
      <c r="AU109" s="133"/>
      <c r="AV109" s="133"/>
      <c r="AW109" s="133"/>
      <c r="AX109" s="133"/>
      <c r="AY109" s="133"/>
      <c r="AZ109" s="133"/>
      <c r="BA109" s="133"/>
      <c r="BB109" s="133"/>
      <c r="BC109" s="133"/>
    </row>
    <row r="110" spans="1:55" s="112" customFormat="1" ht="30" customHeight="1" x14ac:dyDescent="0.25">
      <c r="A110" s="399" t="s">
        <v>20</v>
      </c>
      <c r="B110" s="128">
        <v>2</v>
      </c>
      <c r="C110" s="6">
        <v>15</v>
      </c>
      <c r="D110" s="7">
        <v>164</v>
      </c>
      <c r="E110" s="303">
        <f t="shared" si="29"/>
        <v>337</v>
      </c>
      <c r="F110" s="6">
        <v>1</v>
      </c>
      <c r="G110" s="6"/>
      <c r="H110" s="311"/>
      <c r="I110" s="130"/>
      <c r="J110" s="59"/>
      <c r="K110" s="128">
        <v>2</v>
      </c>
      <c r="L110" s="6">
        <v>16</v>
      </c>
      <c r="M110" s="7"/>
      <c r="N110" s="303">
        <f t="shared" si="30"/>
        <v>501</v>
      </c>
      <c r="O110" s="6">
        <v>2</v>
      </c>
      <c r="P110" s="162"/>
      <c r="Q110" s="218"/>
      <c r="R110" s="303"/>
      <c r="S110" s="311"/>
      <c r="T110" s="133"/>
      <c r="U110" s="133"/>
      <c r="V110" s="214" t="str">
        <f t="shared" si="31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2"/>
        <v/>
      </c>
      <c r="AE110" s="133"/>
      <c r="AF110" s="133"/>
      <c r="AG110" s="133"/>
      <c r="AH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4"/>
      <c r="AT110" s="4"/>
      <c r="AU110" s="133"/>
      <c r="AV110" s="133"/>
      <c r="AW110" s="133"/>
      <c r="AX110" s="133"/>
      <c r="AY110" s="133"/>
      <c r="AZ110" s="133"/>
      <c r="BA110" s="133"/>
      <c r="BB110" s="133"/>
      <c r="BC110" s="133"/>
    </row>
    <row r="111" spans="1:55" s="112" customFormat="1" ht="30" customHeight="1" x14ac:dyDescent="0.25">
      <c r="A111" s="400"/>
      <c r="B111" s="128">
        <v>3</v>
      </c>
      <c r="C111" s="6">
        <v>21</v>
      </c>
      <c r="D111" s="7">
        <v>16</v>
      </c>
      <c r="E111" s="303">
        <f t="shared" si="29"/>
        <v>485</v>
      </c>
      <c r="F111" s="6">
        <v>2</v>
      </c>
      <c r="G111" s="6"/>
      <c r="H111" s="311"/>
      <c r="I111" s="130"/>
      <c r="J111" s="59"/>
      <c r="K111" s="128">
        <v>3</v>
      </c>
      <c r="L111" s="6">
        <v>20</v>
      </c>
      <c r="M111" s="7"/>
      <c r="N111" s="303">
        <f t="shared" si="30"/>
        <v>501</v>
      </c>
      <c r="O111" s="6">
        <v>3</v>
      </c>
      <c r="P111" s="162"/>
      <c r="Q111" s="218"/>
      <c r="R111" s="303"/>
      <c r="S111" s="311"/>
      <c r="T111" s="133"/>
      <c r="U111" s="133"/>
      <c r="V111" s="214" t="str">
        <f t="shared" si="31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2"/>
        <v/>
      </c>
      <c r="AE111" s="133"/>
      <c r="AF111" s="133"/>
      <c r="AG111" s="133"/>
      <c r="AH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4"/>
      <c r="AT111" s="4"/>
      <c r="AU111" s="133"/>
      <c r="AV111" s="133"/>
      <c r="AW111" s="133"/>
      <c r="AX111" s="133"/>
      <c r="AY111" s="133"/>
      <c r="AZ111" s="133"/>
      <c r="BA111" s="133"/>
      <c r="BB111" s="133"/>
      <c r="BC111" s="133"/>
    </row>
    <row r="112" spans="1:55" s="112" customFormat="1" ht="30" customHeight="1" x14ac:dyDescent="0.25">
      <c r="A112" s="400"/>
      <c r="B112" s="128">
        <v>4</v>
      </c>
      <c r="C112" s="6">
        <v>21</v>
      </c>
      <c r="D112" s="7">
        <v>118</v>
      </c>
      <c r="E112" s="303">
        <f t="shared" si="29"/>
        <v>383</v>
      </c>
      <c r="F112" s="6"/>
      <c r="G112" s="6"/>
      <c r="H112" s="311"/>
      <c r="I112" s="130"/>
      <c r="J112" s="59"/>
      <c r="K112" s="128">
        <v>4</v>
      </c>
      <c r="L112" s="6">
        <v>23</v>
      </c>
      <c r="M112" s="7"/>
      <c r="N112" s="303">
        <f t="shared" si="30"/>
        <v>501</v>
      </c>
      <c r="O112" s="6">
        <v>1</v>
      </c>
      <c r="P112" s="162"/>
      <c r="Q112" s="218"/>
      <c r="R112" s="303"/>
      <c r="S112" s="311"/>
      <c r="T112" s="133"/>
      <c r="U112" s="133"/>
      <c r="V112" s="214" t="str">
        <f t="shared" si="31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2"/>
        <v/>
      </c>
      <c r="AE112" s="133"/>
      <c r="AF112" s="133"/>
      <c r="AG112" s="133"/>
      <c r="AH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4"/>
      <c r="AT112" s="4"/>
      <c r="AU112" s="133"/>
      <c r="AV112" s="133"/>
      <c r="AW112" s="133"/>
      <c r="AX112" s="133"/>
      <c r="AY112" s="133"/>
      <c r="AZ112" s="133"/>
      <c r="BA112" s="133"/>
      <c r="BB112" s="133"/>
      <c r="BC112" s="133"/>
    </row>
    <row r="113" spans="1:55" s="112" customFormat="1" ht="30" customHeight="1" x14ac:dyDescent="0.25">
      <c r="A113" s="121"/>
      <c r="B113" s="128">
        <v>5</v>
      </c>
      <c r="C113" s="6"/>
      <c r="D113" s="7"/>
      <c r="E113" s="303" t="str">
        <f t="shared" si="29"/>
        <v xml:space="preserve"> </v>
      </c>
      <c r="F113" s="6"/>
      <c r="G113" s="6"/>
      <c r="H113" s="311"/>
      <c r="I113" s="130"/>
      <c r="J113" s="59"/>
      <c r="K113" s="128">
        <v>5</v>
      </c>
      <c r="L113" s="6"/>
      <c r="M113" s="7"/>
      <c r="N113" s="303" t="str">
        <f t="shared" si="30"/>
        <v xml:space="preserve"> </v>
      </c>
      <c r="O113" s="6"/>
      <c r="P113" s="162"/>
      <c r="Q113" s="218"/>
      <c r="R113" s="303"/>
      <c r="S113" s="311"/>
      <c r="T113" s="133"/>
      <c r="U113" s="133"/>
      <c r="V113" s="214" t="str">
        <f t="shared" si="31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2"/>
        <v/>
      </c>
      <c r="AE113" s="133"/>
      <c r="AF113" s="133"/>
      <c r="AG113" s="133"/>
      <c r="AH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4"/>
      <c r="AT113" s="4"/>
      <c r="AU113" s="133"/>
      <c r="AV113" s="133"/>
      <c r="AW113" s="133"/>
      <c r="AX113" s="133"/>
      <c r="AY113" s="133"/>
      <c r="AZ113" s="133"/>
      <c r="BA113" s="133"/>
      <c r="BB113" s="133"/>
      <c r="BC113" s="133"/>
    </row>
    <row r="114" spans="1:55" s="112" customFormat="1" ht="30" customHeight="1" x14ac:dyDescent="0.25">
      <c r="A114" s="21"/>
      <c r="B114" s="128">
        <v>6</v>
      </c>
      <c r="C114" s="6"/>
      <c r="D114" s="6"/>
      <c r="E114" s="303" t="str">
        <f t="shared" si="29"/>
        <v xml:space="preserve"> </v>
      </c>
      <c r="F114" s="6"/>
      <c r="G114" s="7"/>
      <c r="H114" s="311"/>
      <c r="I114" s="130"/>
      <c r="J114" s="59"/>
      <c r="K114" s="128">
        <v>6</v>
      </c>
      <c r="L114" s="6"/>
      <c r="M114" s="6"/>
      <c r="N114" s="303" t="str">
        <f t="shared" si="30"/>
        <v xml:space="preserve"> </v>
      </c>
      <c r="O114" s="6"/>
      <c r="P114" s="162"/>
      <c r="Q114" s="218"/>
      <c r="R114" s="303"/>
      <c r="S114" s="311"/>
      <c r="T114" s="133"/>
      <c r="U114" s="133"/>
      <c r="V114" s="214" t="str">
        <f t="shared" si="31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2"/>
        <v/>
      </c>
      <c r="AE114" s="133"/>
      <c r="AF114" s="133"/>
      <c r="AG114" s="133"/>
      <c r="AH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4"/>
      <c r="AT114" s="4"/>
      <c r="AU114" s="133"/>
      <c r="AV114" s="133"/>
      <c r="AW114" s="133"/>
      <c r="AX114" s="133"/>
      <c r="AY114" s="133"/>
      <c r="AZ114" s="133"/>
      <c r="BA114" s="133"/>
      <c r="BB114" s="133"/>
      <c r="BC114" s="133"/>
    </row>
    <row r="115" spans="1:55" s="112" customFormat="1" ht="30" customHeight="1" x14ac:dyDescent="0.25">
      <c r="A115" s="21"/>
      <c r="B115" s="128">
        <v>7</v>
      </c>
      <c r="C115" s="6"/>
      <c r="D115" s="6"/>
      <c r="E115" s="303" t="str">
        <f t="shared" si="29"/>
        <v xml:space="preserve"> </v>
      </c>
      <c r="F115" s="6"/>
      <c r="G115" s="7"/>
      <c r="H115" s="311"/>
      <c r="I115" s="130"/>
      <c r="J115" s="59"/>
      <c r="K115" s="128">
        <v>7</v>
      </c>
      <c r="L115" s="6"/>
      <c r="M115" s="6"/>
      <c r="N115" s="303" t="str">
        <f t="shared" si="30"/>
        <v xml:space="preserve"> </v>
      </c>
      <c r="O115" s="6"/>
      <c r="P115" s="162"/>
      <c r="Q115" s="218"/>
      <c r="R115" s="303"/>
      <c r="S115" s="311"/>
      <c r="T115" s="133"/>
      <c r="U115" s="133"/>
      <c r="V115" s="214" t="str">
        <f t="shared" si="31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2"/>
        <v/>
      </c>
      <c r="AE115" s="133"/>
      <c r="AF115" s="133"/>
      <c r="AG115" s="133"/>
      <c r="AH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4"/>
      <c r="AT115" s="4"/>
      <c r="AU115" s="133"/>
      <c r="AV115" s="133"/>
      <c r="AW115" s="133"/>
      <c r="AX115" s="133"/>
      <c r="AY115" s="133"/>
      <c r="AZ115" s="133"/>
      <c r="BA115" s="133"/>
      <c r="BB115" s="133"/>
      <c r="BC115" s="133"/>
    </row>
    <row r="116" spans="1:55" s="112" customFormat="1" ht="20.25" customHeight="1" thickBot="1" x14ac:dyDescent="0.3">
      <c r="A116" s="137" t="s">
        <v>20</v>
      </c>
      <c r="B116" s="135"/>
      <c r="C116" s="136">
        <f>COUNTIF(C109:C115,"&gt;0")</f>
        <v>4</v>
      </c>
      <c r="D116" s="136">
        <f>COUNTIF(D109:D115,"&gt;0")</f>
        <v>4</v>
      </c>
      <c r="E116" s="135"/>
      <c r="F116" s="141"/>
      <c r="G116" s="135"/>
      <c r="H116" s="312"/>
      <c r="I116" s="149"/>
      <c r="J116" s="150"/>
      <c r="K116" s="151"/>
      <c r="L116" s="136">
        <f>COUNTIF(L109:L115,"&gt;0")</f>
        <v>4</v>
      </c>
      <c r="M116" s="136">
        <f>COUNTIF(M109:M115,"&gt;0")</f>
        <v>0</v>
      </c>
      <c r="N116" s="135"/>
      <c r="O116" s="141"/>
      <c r="P116" s="135"/>
      <c r="Q116" s="216"/>
      <c r="R116" s="137"/>
      <c r="S116" s="312"/>
      <c r="T116" s="133"/>
      <c r="U116" s="133"/>
      <c r="V116" s="207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4"/>
      <c r="AT116" s="4"/>
      <c r="AU116" s="133"/>
      <c r="AV116" s="133"/>
      <c r="AW116" s="133"/>
      <c r="AX116" s="133"/>
      <c r="AY116" s="133"/>
      <c r="AZ116" s="133"/>
      <c r="BA116" s="133"/>
      <c r="BB116" s="133"/>
      <c r="BC116" s="133"/>
    </row>
    <row r="117" spans="1:55" s="4" customFormat="1" ht="36.75" customHeight="1" thickBot="1" x14ac:dyDescent="0.3">
      <c r="A117" s="5"/>
      <c r="C117" s="112"/>
      <c r="D117" s="112"/>
      <c r="F117" s="109"/>
      <c r="I117" s="110"/>
      <c r="J117" s="111"/>
      <c r="K117" s="110"/>
      <c r="L117" s="168"/>
      <c r="M117" s="168"/>
      <c r="O117" s="170"/>
      <c r="P117" s="112"/>
      <c r="Q117" s="133"/>
      <c r="T117" s="133"/>
      <c r="U117" s="133"/>
      <c r="V117" s="207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</row>
    <row r="118" spans="1:55" s="112" customFormat="1" ht="29.25" customHeight="1" x14ac:dyDescent="0.25">
      <c r="A118" s="113"/>
      <c r="B118" s="114" t="s">
        <v>0</v>
      </c>
      <c r="C118" s="420" t="str">
        <f>C21</f>
        <v>Selenius Peter</v>
      </c>
      <c r="D118" s="420"/>
      <c r="E118" s="420"/>
      <c r="F118" s="420"/>
      <c r="G118" s="420"/>
      <c r="H118" s="322">
        <f>IF(OR(H119="L",C118=0),0,1)</f>
        <v>1</v>
      </c>
      <c r="I118" s="144"/>
      <c r="J118" s="145"/>
      <c r="K118" s="117" t="s">
        <v>0</v>
      </c>
      <c r="L118" s="420" t="str">
        <f>J21</f>
        <v>Hyttinen Pasi</v>
      </c>
      <c r="M118" s="420"/>
      <c r="N118" s="420"/>
      <c r="O118" s="420"/>
      <c r="P118" s="420"/>
      <c r="Q118" s="421"/>
      <c r="R118" s="421"/>
      <c r="S118" s="310">
        <f>IF(OR(I119="L",L118=0),0,1)</f>
        <v>1</v>
      </c>
      <c r="T118" s="133"/>
      <c r="U118" s="133"/>
      <c r="V118" s="207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4"/>
      <c r="AT118" s="4"/>
      <c r="AU118" s="133"/>
      <c r="AV118" s="133"/>
      <c r="AW118" s="133"/>
      <c r="AX118" s="133"/>
      <c r="AY118" s="133"/>
      <c r="AZ118" s="133"/>
      <c r="BA118" s="133"/>
      <c r="BB118" s="133"/>
      <c r="BC118" s="133"/>
    </row>
    <row r="119" spans="1:55" s="112" customFormat="1" ht="18" x14ac:dyDescent="0.25">
      <c r="A119" s="121"/>
      <c r="B119" s="21"/>
      <c r="C119" s="21"/>
      <c r="D119" s="21"/>
      <c r="E119" s="21"/>
      <c r="F119" s="146"/>
      <c r="G119" s="21"/>
      <c r="H119" s="321"/>
      <c r="I119" s="391"/>
      <c r="J119" s="392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207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4"/>
      <c r="AT119" s="4"/>
      <c r="AU119" s="133"/>
      <c r="AV119" s="133"/>
      <c r="AW119" s="133"/>
      <c r="AX119" s="133"/>
      <c r="AY119" s="133"/>
      <c r="AZ119" s="133"/>
      <c r="BA119" s="133"/>
      <c r="BB119" s="133"/>
      <c r="BC119" s="133"/>
    </row>
    <row r="120" spans="1:55" s="112" customFormat="1" ht="18" x14ac:dyDescent="0.25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125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207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4"/>
      <c r="AT120" s="4"/>
      <c r="AU120" s="133"/>
      <c r="AV120" s="133"/>
      <c r="AW120" s="133"/>
      <c r="AX120" s="133"/>
      <c r="AY120" s="133"/>
      <c r="AZ120" s="133"/>
      <c r="BA120" s="133"/>
      <c r="BB120" s="133"/>
      <c r="BC120" s="133"/>
    </row>
    <row r="121" spans="1:55" s="112" customFormat="1" ht="30" customHeight="1" x14ac:dyDescent="0.2">
      <c r="A121" s="121"/>
      <c r="B121" s="128">
        <v>1</v>
      </c>
      <c r="C121" s="6">
        <v>21</v>
      </c>
      <c r="D121" s="7">
        <v>48</v>
      </c>
      <c r="E121" s="303">
        <f t="shared" ref="E121:E127" si="33">IF(C121=0," ",IF(C121=0,0,501-D121))</f>
        <v>453</v>
      </c>
      <c r="F121" s="6">
        <v>1</v>
      </c>
      <c r="G121" s="6"/>
      <c r="H121" s="324">
        <f>IF(AND(H118=1,S118=0),1,IF(COUNT(C121:C127)&gt;3,IF(COUNT(D121:D127)=4,0,1),0))</f>
        <v>0</v>
      </c>
      <c r="I121" s="130"/>
      <c r="J121" s="59"/>
      <c r="K121" s="128">
        <v>1</v>
      </c>
      <c r="L121" s="6">
        <v>24</v>
      </c>
      <c r="M121" s="7"/>
      <c r="N121" s="303">
        <f t="shared" ref="N121:N127" si="34">IF(L121=0," ",IF(L121=0,0,501-M121))</f>
        <v>501</v>
      </c>
      <c r="O121" s="7">
        <v>1</v>
      </c>
      <c r="P121" s="273"/>
      <c r="Q121" s="218"/>
      <c r="R121" s="314">
        <f>IF(AND(S118=1,H118=0),1,IF(COUNT(L121:L127)&gt;3,IF(COUNT(M121:M127)=4,0,1),0))</f>
        <v>1</v>
      </c>
      <c r="S121" s="311"/>
      <c r="T121" s="133"/>
      <c r="V121" s="214" t="str">
        <f t="shared" ref="V121:V127" si="35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6">IF(AND(C121=0,L121&gt;0),"toinen TIKAT-sarake tyhjä !",IF(AND(C121&gt;0,L121=0),"toinen TIKAT-sarake tyhjä !",""))</f>
        <v/>
      </c>
      <c r="AE121" s="133"/>
      <c r="AF121" s="133"/>
      <c r="AG121" s="133"/>
      <c r="AH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4"/>
      <c r="AT121" s="4"/>
      <c r="AU121" s="133"/>
      <c r="AV121" s="133"/>
      <c r="AW121" s="133"/>
      <c r="AX121" s="133"/>
      <c r="AY121" s="133"/>
      <c r="AZ121" s="133"/>
      <c r="BA121" s="133"/>
      <c r="BB121" s="133"/>
      <c r="BC121" s="133"/>
    </row>
    <row r="122" spans="1:55" s="112" customFormat="1" ht="30" customHeight="1" x14ac:dyDescent="0.25">
      <c r="A122" s="399" t="s">
        <v>21</v>
      </c>
      <c r="B122" s="128">
        <v>2</v>
      </c>
      <c r="C122" s="6">
        <v>19</v>
      </c>
      <c r="D122" s="7"/>
      <c r="E122" s="303">
        <f t="shared" si="33"/>
        <v>501</v>
      </c>
      <c r="F122" s="6">
        <v>1</v>
      </c>
      <c r="G122" s="6"/>
      <c r="H122" s="311"/>
      <c r="I122" s="130"/>
      <c r="J122" s="59"/>
      <c r="K122" s="128">
        <v>2</v>
      </c>
      <c r="L122" s="6">
        <v>18</v>
      </c>
      <c r="M122" s="7">
        <v>160</v>
      </c>
      <c r="N122" s="303">
        <f t="shared" si="34"/>
        <v>341</v>
      </c>
      <c r="O122" s="7"/>
      <c r="P122" s="273"/>
      <c r="Q122" s="218"/>
      <c r="R122" s="303"/>
      <c r="S122" s="311"/>
      <c r="T122" s="133"/>
      <c r="U122" s="133"/>
      <c r="V122" s="214" t="str">
        <f t="shared" si="35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6"/>
        <v/>
      </c>
      <c r="AE122" s="133"/>
      <c r="AF122" s="133"/>
      <c r="AG122" s="133"/>
      <c r="AH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4"/>
      <c r="AT122" s="4"/>
      <c r="AU122" s="133"/>
      <c r="AV122" s="133"/>
      <c r="AW122" s="133"/>
      <c r="AX122" s="133"/>
      <c r="AY122" s="133"/>
      <c r="AZ122" s="133"/>
      <c r="BA122" s="133"/>
      <c r="BB122" s="133"/>
      <c r="BC122" s="133"/>
    </row>
    <row r="123" spans="1:55" s="112" customFormat="1" ht="30" customHeight="1" x14ac:dyDescent="0.25">
      <c r="A123" s="400"/>
      <c r="B123" s="128">
        <v>3</v>
      </c>
      <c r="C123" s="6">
        <v>12</v>
      </c>
      <c r="D123" s="7">
        <v>189</v>
      </c>
      <c r="E123" s="303">
        <f t="shared" si="33"/>
        <v>312</v>
      </c>
      <c r="F123" s="6">
        <v>1</v>
      </c>
      <c r="G123" s="6"/>
      <c r="H123" s="311"/>
      <c r="I123" s="130"/>
      <c r="J123" s="59"/>
      <c r="K123" s="128">
        <v>3</v>
      </c>
      <c r="L123" s="6">
        <v>15</v>
      </c>
      <c r="M123" s="7"/>
      <c r="N123" s="303">
        <f t="shared" si="34"/>
        <v>501</v>
      </c>
      <c r="O123" s="7">
        <v>3</v>
      </c>
      <c r="P123" s="273"/>
      <c r="Q123" s="218"/>
      <c r="R123" s="303"/>
      <c r="S123" s="311"/>
      <c r="T123" s="133"/>
      <c r="U123" s="133"/>
      <c r="V123" s="214" t="str">
        <f t="shared" si="35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6"/>
        <v/>
      </c>
      <c r="AE123" s="133"/>
      <c r="AF123" s="133"/>
      <c r="AG123" s="133"/>
      <c r="AH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4"/>
      <c r="AT123" s="4"/>
      <c r="AU123" s="133"/>
      <c r="AV123" s="133"/>
      <c r="AW123" s="133"/>
      <c r="AX123" s="133"/>
      <c r="AY123" s="133"/>
      <c r="AZ123" s="133"/>
      <c r="BA123" s="133"/>
      <c r="BB123" s="133"/>
      <c r="BC123" s="133"/>
    </row>
    <row r="124" spans="1:55" s="112" customFormat="1" ht="30" customHeight="1" x14ac:dyDescent="0.25">
      <c r="A124" s="400"/>
      <c r="B124" s="128">
        <v>4</v>
      </c>
      <c r="C124" s="6">
        <v>25</v>
      </c>
      <c r="D124" s="7"/>
      <c r="E124" s="303">
        <f t="shared" si="33"/>
        <v>501</v>
      </c>
      <c r="F124" s="6">
        <v>1</v>
      </c>
      <c r="G124" s="6"/>
      <c r="H124" s="311"/>
      <c r="I124" s="130"/>
      <c r="J124" s="59"/>
      <c r="K124" s="128">
        <v>4</v>
      </c>
      <c r="L124" s="6">
        <v>24</v>
      </c>
      <c r="M124" s="7">
        <v>72</v>
      </c>
      <c r="N124" s="303">
        <f t="shared" si="34"/>
        <v>429</v>
      </c>
      <c r="O124" s="7"/>
      <c r="P124" s="273"/>
      <c r="Q124" s="218"/>
      <c r="R124" s="303"/>
      <c r="S124" s="311"/>
      <c r="T124" s="133"/>
      <c r="U124" s="133"/>
      <c r="V124" s="214" t="str">
        <f t="shared" si="35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6"/>
        <v/>
      </c>
      <c r="AE124" s="133"/>
      <c r="AF124" s="133"/>
      <c r="AG124" s="133"/>
      <c r="AH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4"/>
      <c r="AT124" s="4"/>
      <c r="AU124" s="133"/>
      <c r="AV124" s="133"/>
      <c r="AW124" s="133"/>
      <c r="AX124" s="133"/>
      <c r="AY124" s="133"/>
      <c r="AZ124" s="133"/>
      <c r="BA124" s="133"/>
      <c r="BB124" s="133"/>
      <c r="BC124" s="133"/>
    </row>
    <row r="125" spans="1:55" s="112" customFormat="1" ht="30" customHeight="1" x14ac:dyDescent="0.25">
      <c r="A125" s="121"/>
      <c r="B125" s="128">
        <v>5</v>
      </c>
      <c r="C125" s="6">
        <v>15</v>
      </c>
      <c r="D125" s="7">
        <v>244</v>
      </c>
      <c r="E125" s="303">
        <f t="shared" si="33"/>
        <v>257</v>
      </c>
      <c r="F125" s="6"/>
      <c r="G125" s="6"/>
      <c r="H125" s="311"/>
      <c r="I125" s="130"/>
      <c r="J125" s="59"/>
      <c r="K125" s="128">
        <v>5</v>
      </c>
      <c r="L125" s="6">
        <v>18</v>
      </c>
      <c r="M125" s="7"/>
      <c r="N125" s="303">
        <f t="shared" si="34"/>
        <v>501</v>
      </c>
      <c r="O125" s="7">
        <v>2</v>
      </c>
      <c r="P125" s="273"/>
      <c r="Q125" s="218"/>
      <c r="R125" s="303"/>
      <c r="S125" s="311"/>
      <c r="T125" s="133"/>
      <c r="U125" s="133"/>
      <c r="V125" s="214" t="str">
        <f t="shared" si="35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6"/>
        <v/>
      </c>
      <c r="AE125" s="133"/>
      <c r="AF125" s="133"/>
      <c r="AG125" s="133"/>
      <c r="AH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4"/>
      <c r="AT125" s="4"/>
      <c r="AU125" s="133"/>
      <c r="AV125" s="133"/>
      <c r="AW125" s="133"/>
      <c r="AX125" s="133"/>
      <c r="AY125" s="133"/>
      <c r="AZ125" s="133"/>
      <c r="BA125" s="133"/>
      <c r="BB125" s="133"/>
      <c r="BC125" s="133"/>
    </row>
    <row r="126" spans="1:55" s="112" customFormat="1" ht="30" customHeight="1" x14ac:dyDescent="0.25">
      <c r="A126" s="121"/>
      <c r="B126" s="128">
        <v>6</v>
      </c>
      <c r="C126" s="6">
        <v>15</v>
      </c>
      <c r="D126" s="6">
        <v>126</v>
      </c>
      <c r="E126" s="303">
        <f t="shared" si="33"/>
        <v>375</v>
      </c>
      <c r="F126" s="6"/>
      <c r="G126" s="7"/>
      <c r="H126" s="311"/>
      <c r="I126" s="130"/>
      <c r="J126" s="59"/>
      <c r="K126" s="128">
        <v>6</v>
      </c>
      <c r="L126" s="6">
        <v>15</v>
      </c>
      <c r="M126" s="6"/>
      <c r="N126" s="303">
        <f t="shared" si="34"/>
        <v>501</v>
      </c>
      <c r="O126" s="6">
        <v>2</v>
      </c>
      <c r="P126" s="162"/>
      <c r="Q126" s="218"/>
      <c r="R126" s="303"/>
      <c r="S126" s="311"/>
      <c r="T126" s="133"/>
      <c r="U126" s="133"/>
      <c r="V126" s="214" t="str">
        <f t="shared" si="35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6"/>
        <v/>
      </c>
      <c r="AE126" s="133"/>
      <c r="AF126" s="133"/>
      <c r="AG126" s="133"/>
      <c r="AH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4"/>
      <c r="AT126" s="4"/>
      <c r="AU126" s="133"/>
      <c r="AV126" s="133"/>
      <c r="AW126" s="133"/>
      <c r="AX126" s="133"/>
      <c r="AY126" s="133"/>
      <c r="AZ126" s="133"/>
      <c r="BA126" s="133"/>
      <c r="BB126" s="133"/>
      <c r="BC126" s="133"/>
    </row>
    <row r="127" spans="1:55" s="112" customFormat="1" ht="30" customHeight="1" x14ac:dyDescent="0.25">
      <c r="A127" s="121"/>
      <c r="B127" s="128">
        <v>7</v>
      </c>
      <c r="C127" s="6"/>
      <c r="D127" s="6"/>
      <c r="E127" s="303" t="str">
        <f t="shared" si="33"/>
        <v xml:space="preserve"> </v>
      </c>
      <c r="F127" s="6"/>
      <c r="G127" s="7"/>
      <c r="H127" s="311"/>
      <c r="I127" s="130"/>
      <c r="J127" s="59"/>
      <c r="K127" s="128">
        <v>7</v>
      </c>
      <c r="L127" s="6"/>
      <c r="M127" s="6"/>
      <c r="N127" s="303" t="str">
        <f t="shared" si="34"/>
        <v xml:space="preserve"> </v>
      </c>
      <c r="O127" s="6"/>
      <c r="P127" s="162"/>
      <c r="Q127" s="218"/>
      <c r="R127" s="303"/>
      <c r="S127" s="311"/>
      <c r="T127" s="133"/>
      <c r="U127" s="133"/>
      <c r="V127" s="214" t="str">
        <f t="shared" si="35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6"/>
        <v/>
      </c>
      <c r="AE127" s="133"/>
      <c r="AF127" s="133"/>
      <c r="AG127" s="133"/>
      <c r="AH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4"/>
      <c r="AT127" s="4"/>
      <c r="AU127" s="133"/>
      <c r="AV127" s="133"/>
      <c r="AW127" s="133"/>
      <c r="AX127" s="133"/>
      <c r="AY127" s="133"/>
      <c r="AZ127" s="133"/>
      <c r="BA127" s="133"/>
      <c r="BB127" s="133"/>
      <c r="BC127" s="133"/>
    </row>
    <row r="128" spans="1:55" s="4" customFormat="1" ht="27.75" customHeight="1" thickBot="1" x14ac:dyDescent="0.3">
      <c r="A128" s="153"/>
      <c r="B128" s="137" t="s">
        <v>21</v>
      </c>
      <c r="C128" s="136">
        <f>COUNTIF(C121:C127,"&gt;0")</f>
        <v>6</v>
      </c>
      <c r="D128" s="136">
        <f>COUNTIF(D121:D127,"&gt;0")</f>
        <v>4</v>
      </c>
      <c r="E128" s="137"/>
      <c r="F128" s="138"/>
      <c r="G128" s="137"/>
      <c r="H128" s="312"/>
      <c r="I128" s="139"/>
      <c r="J128" s="150"/>
      <c r="K128" s="140"/>
      <c r="L128" s="136">
        <f>COUNTIF(L121:L127,"&gt;0")</f>
        <v>6</v>
      </c>
      <c r="M128" s="136">
        <f>COUNTIF(M121:M127,"&gt;0")</f>
        <v>2</v>
      </c>
      <c r="N128" s="137"/>
      <c r="O128" s="141"/>
      <c r="P128" s="135"/>
      <c r="Q128" s="216"/>
      <c r="R128" s="137"/>
      <c r="S128" s="312"/>
      <c r="T128" s="133"/>
      <c r="U128" s="133"/>
      <c r="V128" s="207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</row>
    <row r="129" spans="1:55" s="4" customFormat="1" ht="30.75" customHeight="1" x14ac:dyDescent="0.3">
      <c r="A129" s="5"/>
      <c r="C129" s="112"/>
      <c r="D129" s="168"/>
      <c r="F129" s="109"/>
      <c r="H129" s="5"/>
      <c r="I129" s="110"/>
      <c r="J129" s="111"/>
      <c r="K129" s="110"/>
      <c r="L129" s="168"/>
      <c r="M129" s="168"/>
      <c r="O129" s="170"/>
      <c r="P129" s="112"/>
      <c r="Q129" s="133"/>
      <c r="T129" s="118"/>
      <c r="U129" s="133"/>
      <c r="V129" s="14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</row>
    <row r="130" spans="1:55" s="4" customFormat="1" x14ac:dyDescent="0.3">
      <c r="A130" s="21"/>
      <c r="B130" s="21"/>
      <c r="C130" s="21"/>
      <c r="D130" s="21"/>
      <c r="E130" s="21"/>
      <c r="F130" s="146"/>
      <c r="G130" s="21"/>
      <c r="H130" s="124"/>
      <c r="I130" s="391"/>
      <c r="J130" s="392"/>
      <c r="K130" s="131"/>
      <c r="L130" s="131"/>
      <c r="M130" s="131"/>
      <c r="N130" s="21"/>
      <c r="O130" s="146"/>
      <c r="P130" s="21"/>
      <c r="Q130" s="118"/>
      <c r="R130" s="5"/>
      <c r="S130" s="5"/>
      <c r="T130" s="133"/>
      <c r="U130" s="133"/>
      <c r="V130" s="14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</row>
    <row r="131" spans="1:55" s="4" customFormat="1" x14ac:dyDescent="0.3">
      <c r="A131" s="21"/>
      <c r="B131" s="122"/>
      <c r="C131" s="123"/>
      <c r="D131" s="123"/>
      <c r="E131" s="124"/>
      <c r="F131" s="123"/>
      <c r="G131" s="123"/>
      <c r="H131" s="124"/>
      <c r="I131" s="126"/>
      <c r="J131" s="147"/>
      <c r="K131" s="122"/>
      <c r="L131" s="123"/>
      <c r="M131" s="123"/>
      <c r="N131" s="124"/>
      <c r="O131" s="123"/>
      <c r="P131" s="173"/>
      <c r="Q131" s="221"/>
      <c r="R131" s="124"/>
      <c r="S131" s="5"/>
      <c r="T131" s="133"/>
      <c r="U131" s="133"/>
      <c r="V131" s="14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</row>
    <row r="132" spans="1:55" s="4" customFormat="1" ht="30.75" customHeight="1" x14ac:dyDescent="0.2">
      <c r="A132" s="21"/>
      <c r="B132" s="128"/>
      <c r="C132" s="129"/>
      <c r="D132" s="211"/>
      <c r="E132" s="129"/>
      <c r="F132" s="129"/>
      <c r="G132" s="129"/>
      <c r="H132" s="303"/>
      <c r="I132" s="174"/>
      <c r="J132" s="59"/>
      <c r="K132" s="128"/>
      <c r="L132" s="129"/>
      <c r="M132" s="211"/>
      <c r="N132" s="129"/>
      <c r="O132" s="129"/>
      <c r="P132" s="212"/>
      <c r="Q132" s="218"/>
      <c r="R132" s="303"/>
      <c r="S132" s="5"/>
      <c r="T132" s="133"/>
      <c r="U132" s="194"/>
      <c r="V132" s="132" t="str">
        <f t="shared" ref="V132:V137" si="37">IF(AND(E132=501,N132=501),"TARKISTA JÄI-SARAKE"," ")</f>
        <v xml:space="preserve"> </v>
      </c>
      <c r="W132" s="133"/>
      <c r="X132" s="133"/>
      <c r="Y132" s="133"/>
      <c r="Z132" s="133"/>
      <c r="AA132" s="133"/>
      <c r="AB132" s="133"/>
      <c r="AC132" s="133"/>
      <c r="AD132" s="134" t="str">
        <f t="shared" ref="AD132:AD137" si="38">IF(AND(C132=0,L132&gt;0),"toinen TIKAT-sarake tyhjä !",IF(AND(C132&gt;0,L132=0),"toinen TIKAT-sarake tyhjä !",""))</f>
        <v/>
      </c>
      <c r="AE132" s="133"/>
      <c r="AF132" s="133"/>
      <c r="AG132" s="133"/>
      <c r="AH132" s="133"/>
      <c r="AI132" s="133"/>
      <c r="AJ132" s="133"/>
      <c r="AK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</row>
    <row r="133" spans="1:55" s="4" customFormat="1" ht="30.75" customHeight="1" x14ac:dyDescent="0.25">
      <c r="A133" s="427"/>
      <c r="B133" s="128"/>
      <c r="C133" s="129"/>
      <c r="D133" s="211"/>
      <c r="E133" s="129"/>
      <c r="F133" s="129"/>
      <c r="G133" s="129"/>
      <c r="H133" s="5"/>
      <c r="I133" s="174"/>
      <c r="J133" s="59"/>
      <c r="K133" s="128"/>
      <c r="L133" s="129"/>
      <c r="M133" s="211"/>
      <c r="N133" s="129"/>
      <c r="O133" s="129"/>
      <c r="P133" s="212"/>
      <c r="Q133" s="218"/>
      <c r="R133" s="303"/>
      <c r="S133" s="5"/>
      <c r="T133" s="133"/>
      <c r="U133" s="133"/>
      <c r="V133" s="132" t="str">
        <f t="shared" si="37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8"/>
        <v/>
      </c>
      <c r="AE133" s="133"/>
      <c r="AF133" s="133"/>
      <c r="AG133" s="133"/>
      <c r="AH133" s="133"/>
      <c r="AI133" s="133"/>
      <c r="AJ133" s="133"/>
      <c r="AK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</row>
    <row r="134" spans="1:55" s="4" customFormat="1" ht="30.75" customHeight="1" x14ac:dyDescent="0.25">
      <c r="A134" s="428"/>
      <c r="B134" s="128"/>
      <c r="C134" s="129"/>
      <c r="D134" s="211"/>
      <c r="E134" s="129"/>
      <c r="F134" s="129"/>
      <c r="G134" s="129"/>
      <c r="H134" s="5"/>
      <c r="I134" s="174"/>
      <c r="J134" s="59"/>
      <c r="K134" s="128"/>
      <c r="L134" s="129"/>
      <c r="M134" s="211"/>
      <c r="N134" s="129"/>
      <c r="O134" s="129"/>
      <c r="P134" s="212"/>
      <c r="Q134" s="218"/>
      <c r="R134" s="303"/>
      <c r="S134" s="5"/>
      <c r="T134" s="133"/>
      <c r="U134" s="133"/>
      <c r="V134" s="132" t="str">
        <f t="shared" si="37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8"/>
        <v/>
      </c>
      <c r="AE134" s="133"/>
      <c r="AF134" s="133"/>
      <c r="AG134" s="133"/>
      <c r="AH134" s="133"/>
      <c r="AI134" s="133"/>
      <c r="AJ134" s="133"/>
      <c r="AK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</row>
    <row r="135" spans="1:55" s="4" customFormat="1" ht="30.75" customHeight="1" x14ac:dyDescent="0.25">
      <c r="A135" s="428"/>
      <c r="B135" s="128"/>
      <c r="C135" s="129"/>
      <c r="D135" s="211"/>
      <c r="E135" s="129"/>
      <c r="F135" s="129"/>
      <c r="G135" s="129"/>
      <c r="H135" s="5"/>
      <c r="I135" s="174"/>
      <c r="J135" s="59"/>
      <c r="K135" s="128"/>
      <c r="L135" s="129"/>
      <c r="M135" s="211"/>
      <c r="N135" s="129"/>
      <c r="O135" s="129"/>
      <c r="P135" s="212"/>
      <c r="Q135" s="218"/>
      <c r="R135" s="303"/>
      <c r="S135" s="5"/>
      <c r="T135" s="133"/>
      <c r="U135" s="133"/>
      <c r="V135" s="132" t="str">
        <f t="shared" si="37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8"/>
        <v/>
      </c>
      <c r="AE135" s="133"/>
      <c r="AF135" s="133"/>
      <c r="AG135" s="133"/>
      <c r="AH135" s="133"/>
      <c r="AI135" s="133"/>
      <c r="AJ135" s="133"/>
      <c r="AK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</row>
    <row r="136" spans="1:55" s="4" customFormat="1" ht="30.75" customHeight="1" x14ac:dyDescent="0.25">
      <c r="A136" s="21"/>
      <c r="B136" s="128"/>
      <c r="C136" s="129"/>
      <c r="D136" s="211"/>
      <c r="E136" s="129"/>
      <c r="F136" s="129"/>
      <c r="G136" s="129"/>
      <c r="H136" s="5"/>
      <c r="I136" s="174"/>
      <c r="J136" s="59"/>
      <c r="K136" s="128"/>
      <c r="L136" s="129"/>
      <c r="M136" s="211"/>
      <c r="N136" s="129"/>
      <c r="O136" s="129"/>
      <c r="P136" s="212"/>
      <c r="Q136" s="218"/>
      <c r="R136" s="303"/>
      <c r="S136" s="5"/>
      <c r="T136" s="133"/>
      <c r="U136" s="133"/>
      <c r="V136" s="132" t="str">
        <f t="shared" si="37"/>
        <v xml:space="preserve"> </v>
      </c>
      <c r="W136" s="193"/>
      <c r="X136" s="175"/>
      <c r="Y136" s="133"/>
      <c r="Z136" s="133"/>
      <c r="AA136" s="133"/>
      <c r="AB136" s="133"/>
      <c r="AC136" s="133"/>
      <c r="AD136" s="134" t="str">
        <f t="shared" si="38"/>
        <v/>
      </c>
      <c r="AE136" s="133"/>
      <c r="AF136" s="133"/>
      <c r="AG136" s="133"/>
      <c r="AH136" s="133"/>
      <c r="AI136" s="133"/>
      <c r="AJ136" s="133"/>
      <c r="AK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</row>
    <row r="137" spans="1:55" s="4" customFormat="1" ht="30.75" customHeight="1" x14ac:dyDescent="0.25">
      <c r="A137" s="21"/>
      <c r="B137" s="128"/>
      <c r="C137" s="129"/>
      <c r="D137" s="129"/>
      <c r="E137" s="129"/>
      <c r="F137" s="129"/>
      <c r="G137" s="211"/>
      <c r="H137" s="5"/>
      <c r="I137" s="174"/>
      <c r="J137" s="59"/>
      <c r="K137" s="128"/>
      <c r="L137" s="129"/>
      <c r="M137" s="129"/>
      <c r="N137" s="129"/>
      <c r="O137" s="129"/>
      <c r="P137" s="212"/>
      <c r="Q137" s="218"/>
      <c r="R137" s="303"/>
      <c r="S137" s="5"/>
      <c r="T137" s="133"/>
      <c r="U137" s="133"/>
      <c r="V137" s="132" t="str">
        <f t="shared" si="37"/>
        <v xml:space="preserve"> </v>
      </c>
      <c r="W137" s="193"/>
      <c r="X137" s="175"/>
      <c r="Y137" s="133"/>
      <c r="Z137" s="133"/>
      <c r="AA137" s="133"/>
      <c r="AB137" s="133"/>
      <c r="AC137" s="133"/>
      <c r="AD137" s="134" t="str">
        <f t="shared" si="38"/>
        <v/>
      </c>
      <c r="AE137" s="133"/>
      <c r="AF137" s="133"/>
      <c r="AG137" s="133"/>
      <c r="AH137" s="133"/>
      <c r="AI137" s="133"/>
      <c r="AJ137" s="133"/>
      <c r="AK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</row>
    <row r="138" spans="1:55" s="4" customFormat="1" x14ac:dyDescent="0.3">
      <c r="A138" s="21"/>
      <c r="B138" s="21"/>
      <c r="C138" s="21"/>
      <c r="D138" s="21"/>
      <c r="E138" s="21"/>
      <c r="F138" s="146"/>
      <c r="G138" s="21"/>
      <c r="H138" s="5"/>
      <c r="I138" s="131"/>
      <c r="J138" s="59"/>
      <c r="K138" s="131"/>
      <c r="L138" s="131"/>
      <c r="M138" s="131"/>
      <c r="N138" s="21"/>
      <c r="O138" s="146"/>
      <c r="P138" s="21"/>
      <c r="Q138" s="118"/>
      <c r="R138" s="5"/>
      <c r="S138" s="5"/>
      <c r="T138" s="118"/>
      <c r="U138" s="118"/>
      <c r="V138" s="142"/>
      <c r="W138" s="118"/>
      <c r="X138" s="118"/>
      <c r="Y138" s="118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</row>
    <row r="139" spans="1:55" s="112" customFormat="1" ht="161.25" customHeight="1" x14ac:dyDescent="0.3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2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42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4"/>
      <c r="AT139" s="4"/>
      <c r="AU139" s="133"/>
      <c r="AV139" s="133"/>
      <c r="AW139" s="133"/>
      <c r="AX139" s="133"/>
      <c r="AY139" s="133"/>
      <c r="AZ139" s="133"/>
      <c r="BA139" s="133"/>
      <c r="BB139" s="133"/>
      <c r="BC139" s="133"/>
    </row>
    <row r="140" spans="1:55" s="112" customFormat="1" ht="24.75" customHeight="1" x14ac:dyDescent="0.3">
      <c r="A140" s="426" t="str">
        <f>tilasto!B11</f>
        <v>Högström Sami</v>
      </c>
      <c r="B140" s="426"/>
      <c r="C140" s="426"/>
      <c r="D140" s="30">
        <f>SUM(C37:C43,C85:C91)</f>
        <v>182</v>
      </c>
      <c r="E140" s="30">
        <f>SUM(C44,C92)</f>
        <v>11</v>
      </c>
      <c r="F140" s="30">
        <f>SUM(D44,D92)</f>
        <v>5</v>
      </c>
      <c r="G140" s="30">
        <f>SUM(D37:D43,D85:D91)</f>
        <v>480</v>
      </c>
      <c r="H140" s="326">
        <f>SUM(E37:E43,E85:E91)</f>
        <v>5031</v>
      </c>
      <c r="I140" s="217"/>
      <c r="J140" s="30">
        <f>SUM(H37,H85)</f>
        <v>1</v>
      </c>
      <c r="K140" s="30">
        <f>E140-F140</f>
        <v>6</v>
      </c>
      <c r="L140" s="30">
        <f>SUM(F37:F43,F85:F91)</f>
        <v>22</v>
      </c>
      <c r="M140" s="30">
        <f>SUM(G37:G43,G85:G91)</f>
        <v>0</v>
      </c>
      <c r="N140" s="240">
        <f>H140/D140</f>
        <v>27.642857142857142</v>
      </c>
      <c r="O140" s="425">
        <f>(L140+M140)/E140</f>
        <v>2</v>
      </c>
      <c r="P140" s="425"/>
      <c r="Q140" s="425"/>
      <c r="R140" s="5"/>
      <c r="S140" s="5"/>
      <c r="T140" s="118"/>
      <c r="U140" s="118"/>
      <c r="V140" s="142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4"/>
      <c r="AT140" s="4"/>
      <c r="AU140" s="133"/>
      <c r="AV140" s="133"/>
      <c r="AW140" s="133"/>
      <c r="AX140" s="133"/>
      <c r="AY140" s="133"/>
      <c r="AZ140" s="133"/>
      <c r="BA140" s="133"/>
      <c r="BB140" s="133"/>
      <c r="BC140" s="133"/>
    </row>
    <row r="141" spans="1:55" s="112" customFormat="1" ht="24.75" customHeight="1" x14ac:dyDescent="0.3">
      <c r="A141" s="426" t="str">
        <f>tilasto!B12</f>
        <v>Ek Matti</v>
      </c>
      <c r="B141" s="426"/>
      <c r="C141" s="426"/>
      <c r="D141" s="30">
        <f>SUM(C49:C55,C97:C103)</f>
        <v>226</v>
      </c>
      <c r="E141" s="30">
        <f>SUM(C56,C104)</f>
        <v>11</v>
      </c>
      <c r="F141" s="30">
        <f>SUM(D56,D104)</f>
        <v>8</v>
      </c>
      <c r="G141" s="30">
        <f>SUM(D49:D55,D97:D103)</f>
        <v>818</v>
      </c>
      <c r="H141" s="326">
        <f>SUM(E49:E55,E97:E103)</f>
        <v>4693</v>
      </c>
      <c r="I141" s="217"/>
      <c r="J141" s="30">
        <f>SUM(H49,H97)</f>
        <v>0</v>
      </c>
      <c r="K141" s="30">
        <f t="shared" ref="K141:K147" si="39">E141-F141</f>
        <v>3</v>
      </c>
      <c r="L141" s="30">
        <f>SUM(F49:F55,F97:F103)</f>
        <v>8</v>
      </c>
      <c r="M141" s="30">
        <f>SUM(G49:G55,G97:G103)</f>
        <v>0</v>
      </c>
      <c r="N141" s="240">
        <f t="shared" ref="N141:N147" si="40">H141/D141</f>
        <v>20.765486725663717</v>
      </c>
      <c r="O141" s="425">
        <f t="shared" ref="O141:O147" si="41">(L141+M141)/E141</f>
        <v>0.72727272727272729</v>
      </c>
      <c r="P141" s="425"/>
      <c r="Q141" s="425"/>
      <c r="R141" s="5"/>
      <c r="S141" s="5"/>
      <c r="T141" s="118"/>
      <c r="U141" s="118"/>
      <c r="V141" s="142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4"/>
      <c r="AT141" s="4"/>
      <c r="AU141" s="133"/>
      <c r="AV141" s="133"/>
      <c r="AW141" s="133"/>
      <c r="AX141" s="133"/>
      <c r="AY141" s="133"/>
      <c r="AZ141" s="133"/>
      <c r="BA141" s="133"/>
      <c r="BB141" s="133"/>
      <c r="BC141" s="133"/>
    </row>
    <row r="142" spans="1:55" s="112" customFormat="1" ht="24.75" customHeight="1" x14ac:dyDescent="0.3">
      <c r="A142" s="426" t="str">
        <f>tilasto!B13</f>
        <v>Kinnunen Tomi</v>
      </c>
      <c r="B142" s="426"/>
      <c r="C142" s="426"/>
      <c r="D142" s="30">
        <f>SUM(C61:C67,C109:C115)</f>
        <v>162</v>
      </c>
      <c r="E142" s="30">
        <f>SUM(C68,C116)</f>
        <v>8</v>
      </c>
      <c r="F142" s="30">
        <f>SUM(D68,D116)</f>
        <v>8</v>
      </c>
      <c r="G142" s="30">
        <f>SUM(D61:D67,D109:D115)</f>
        <v>649</v>
      </c>
      <c r="H142" s="326">
        <f>SUM(E61:E67,E109:E115)</f>
        <v>3359</v>
      </c>
      <c r="I142" s="217"/>
      <c r="J142" s="30">
        <f>SUM(H61,H109)</f>
        <v>0</v>
      </c>
      <c r="K142" s="30">
        <f t="shared" si="39"/>
        <v>0</v>
      </c>
      <c r="L142" s="30">
        <f>SUM(F61:F67,F109:F115)</f>
        <v>8</v>
      </c>
      <c r="M142" s="30">
        <f>SUM(G61:G67,G109:G115)</f>
        <v>0</v>
      </c>
      <c r="N142" s="240">
        <f t="shared" si="40"/>
        <v>20.734567901234566</v>
      </c>
      <c r="O142" s="425">
        <f t="shared" si="41"/>
        <v>1</v>
      </c>
      <c r="P142" s="425"/>
      <c r="Q142" s="425"/>
      <c r="R142" s="5"/>
      <c r="S142" s="5"/>
      <c r="T142" s="118"/>
      <c r="U142" s="118"/>
      <c r="V142" s="142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4"/>
      <c r="AT142" s="4"/>
      <c r="AU142" s="133"/>
      <c r="AV142" s="133"/>
      <c r="AW142" s="133"/>
      <c r="AX142" s="133"/>
      <c r="AY142" s="133"/>
      <c r="AZ142" s="133"/>
      <c r="BA142" s="133"/>
      <c r="BB142" s="133"/>
      <c r="BC142" s="133"/>
    </row>
    <row r="143" spans="1:55" s="112" customFormat="1" ht="24.75" customHeight="1" x14ac:dyDescent="0.3">
      <c r="A143" s="426" t="str">
        <f>tilasto!B14</f>
        <v>Selenius Peter</v>
      </c>
      <c r="B143" s="426"/>
      <c r="C143" s="426"/>
      <c r="D143" s="30">
        <f>SUM(C73:C79,C121:C127)</f>
        <v>194</v>
      </c>
      <c r="E143" s="30">
        <f>SUM(C80,C128)</f>
        <v>10</v>
      </c>
      <c r="F143" s="30">
        <f>SUM(D80,D128)</f>
        <v>8</v>
      </c>
      <c r="G143" s="30">
        <f>SUM(D73:D79,D121:D127)</f>
        <v>989</v>
      </c>
      <c r="H143" s="326">
        <f>SUM(E73:E79,E121:E127)</f>
        <v>4021</v>
      </c>
      <c r="I143" s="217"/>
      <c r="J143" s="30">
        <f>SUM(H73,H121)</f>
        <v>0</v>
      </c>
      <c r="K143" s="30">
        <f t="shared" si="39"/>
        <v>2</v>
      </c>
      <c r="L143" s="30">
        <f>SUM(F73:F79,F121:F127)</f>
        <v>4</v>
      </c>
      <c r="M143" s="30">
        <f>SUM(G73:G79,G121:G127)</f>
        <v>0</v>
      </c>
      <c r="N143" s="240">
        <f t="shared" si="40"/>
        <v>20.726804123711339</v>
      </c>
      <c r="O143" s="425">
        <f t="shared" si="41"/>
        <v>0.4</v>
      </c>
      <c r="P143" s="425"/>
      <c r="Q143" s="425"/>
      <c r="R143" s="5"/>
      <c r="S143" s="5"/>
      <c r="T143" s="118"/>
      <c r="U143" s="118"/>
      <c r="V143" s="142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4"/>
      <c r="AT143" s="4"/>
      <c r="AU143" s="133"/>
      <c r="AV143" s="133"/>
      <c r="AW143" s="133"/>
      <c r="AX143" s="133"/>
      <c r="AY143" s="133"/>
      <c r="AZ143" s="133"/>
      <c r="BA143" s="133"/>
      <c r="BB143" s="133"/>
      <c r="BC143" s="133"/>
    </row>
    <row r="144" spans="1:55" s="112" customFormat="1" ht="24.75" customHeight="1" x14ac:dyDescent="0.3">
      <c r="A144" s="426" t="str">
        <f>tilasto!B20</f>
        <v>Takkinen Uki</v>
      </c>
      <c r="B144" s="426"/>
      <c r="C144" s="426"/>
      <c r="D144" s="30">
        <f>SUM(L49:L55,L85:L91)</f>
        <v>234</v>
      </c>
      <c r="E144" s="30">
        <f>SUM(L56,L92)</f>
        <v>12</v>
      </c>
      <c r="F144" s="30">
        <f>SUM(M56,M92)</f>
        <v>7</v>
      </c>
      <c r="G144" s="30">
        <f>SUM(M49:M55,M85:M91)</f>
        <v>550</v>
      </c>
      <c r="H144" s="326">
        <f>SUM(N49:N55,N85:N91)</f>
        <v>5462</v>
      </c>
      <c r="I144" s="217"/>
      <c r="J144" s="30">
        <f>SUM(R49,R85)</f>
        <v>1</v>
      </c>
      <c r="K144" s="30">
        <f t="shared" si="39"/>
        <v>5</v>
      </c>
      <c r="L144" s="30">
        <f>SUM(O49:O55,O85:O91)</f>
        <v>17</v>
      </c>
      <c r="M144" s="30">
        <f>SUM(P49:P55,P85:P91)</f>
        <v>0</v>
      </c>
      <c r="N144" s="240">
        <f t="shared" si="40"/>
        <v>23.341880341880341</v>
      </c>
      <c r="O144" s="425">
        <f t="shared" si="41"/>
        <v>1.4166666666666667</v>
      </c>
      <c r="P144" s="425"/>
      <c r="Q144" s="425"/>
      <c r="R144" s="5"/>
      <c r="S144" s="5"/>
      <c r="T144" s="118"/>
      <c r="U144" s="118"/>
      <c r="V144" s="142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4"/>
      <c r="AT144" s="4"/>
      <c r="AU144" s="133"/>
      <c r="AV144" s="133"/>
      <c r="AW144" s="133"/>
      <c r="AX144" s="133"/>
      <c r="AY144" s="133"/>
      <c r="AZ144" s="133"/>
      <c r="BA144" s="133"/>
      <c r="BB144" s="133"/>
      <c r="BC144" s="133"/>
    </row>
    <row r="145" spans="1:55" s="112" customFormat="1" ht="24.75" customHeight="1" x14ac:dyDescent="0.3">
      <c r="A145" s="426" t="str">
        <f>tilasto!B21</f>
        <v>Finnilä Pauli</v>
      </c>
      <c r="B145" s="426"/>
      <c r="C145" s="426"/>
      <c r="D145" s="30">
        <f>SUM(L37:L43,L97:L103)</f>
        <v>182</v>
      </c>
      <c r="E145" s="30">
        <f>SUM(L44,L104)</f>
        <v>10</v>
      </c>
      <c r="F145" s="30">
        <f>SUM(M44,M104)</f>
        <v>2</v>
      </c>
      <c r="G145" s="30">
        <f>SUM(M37:M43,M97:M103)</f>
        <v>144</v>
      </c>
      <c r="H145" s="326">
        <f>SUM(N37:N43,N97:N103)</f>
        <v>4866</v>
      </c>
      <c r="I145" s="217"/>
      <c r="J145" s="30">
        <f>SUM(R37,R97)</f>
        <v>2</v>
      </c>
      <c r="K145" s="30">
        <f t="shared" si="39"/>
        <v>8</v>
      </c>
      <c r="L145" s="30">
        <f>SUM(O37:O43,O97:O103)</f>
        <v>24</v>
      </c>
      <c r="M145" s="30">
        <f>SUM(P37:P43,P97:P103)</f>
        <v>0</v>
      </c>
      <c r="N145" s="240">
        <f t="shared" si="40"/>
        <v>26.736263736263737</v>
      </c>
      <c r="O145" s="425">
        <f t="shared" si="41"/>
        <v>2.4</v>
      </c>
      <c r="P145" s="425"/>
      <c r="Q145" s="425"/>
      <c r="R145" s="5"/>
      <c r="S145" s="5"/>
      <c r="T145" s="118"/>
      <c r="U145" s="118"/>
      <c r="V145" s="142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4"/>
      <c r="AT145" s="4"/>
      <c r="AU145" s="133"/>
      <c r="AV145" s="133"/>
      <c r="AW145" s="133"/>
      <c r="AX145" s="133"/>
      <c r="AY145" s="133"/>
      <c r="AZ145" s="133"/>
      <c r="BA145" s="133"/>
      <c r="BB145" s="133"/>
      <c r="BC145" s="133"/>
    </row>
    <row r="146" spans="1:55" s="112" customFormat="1" ht="24.75" customHeight="1" x14ac:dyDescent="0.3">
      <c r="A146" s="426" t="str">
        <f>tilasto!B22</f>
        <v>Viinikka Veijo</v>
      </c>
      <c r="B146" s="426"/>
      <c r="C146" s="426"/>
      <c r="D146" s="30">
        <f>SUM(L73:L79,L109:L115)</f>
        <v>165</v>
      </c>
      <c r="E146" s="30">
        <f>SUM(L80,L116)</f>
        <v>8</v>
      </c>
      <c r="F146" s="30">
        <f>SUM(M80,M116)</f>
        <v>0</v>
      </c>
      <c r="G146" s="30">
        <f>SUM(M73:M79,M109:M115)</f>
        <v>0</v>
      </c>
      <c r="H146" s="326">
        <f>SUM(N73:N79,N109:N115)</f>
        <v>4008</v>
      </c>
      <c r="I146" s="217"/>
      <c r="J146" s="30">
        <f>SUM(R73,R109)</f>
        <v>2</v>
      </c>
      <c r="K146" s="30">
        <f t="shared" si="39"/>
        <v>8</v>
      </c>
      <c r="L146" s="30">
        <f>SUM(O73:O79,O109:O115)</f>
        <v>16</v>
      </c>
      <c r="M146" s="30">
        <f>SUM(P73:P79,P109:P115)</f>
        <v>0</v>
      </c>
      <c r="N146" s="240">
        <f t="shared" si="40"/>
        <v>24.290909090909089</v>
      </c>
      <c r="O146" s="425">
        <f t="shared" si="41"/>
        <v>2</v>
      </c>
      <c r="P146" s="425"/>
      <c r="Q146" s="425"/>
      <c r="R146" s="5"/>
      <c r="S146" s="5"/>
      <c r="T146" s="118"/>
      <c r="U146" s="118"/>
      <c r="V146" s="142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4"/>
      <c r="AT146" s="4"/>
      <c r="AU146" s="133"/>
      <c r="AV146" s="133"/>
      <c r="AW146" s="133"/>
      <c r="AX146" s="133"/>
      <c r="AY146" s="133"/>
      <c r="AZ146" s="133"/>
      <c r="BA146" s="133"/>
      <c r="BB146" s="133"/>
      <c r="BC146" s="133"/>
    </row>
    <row r="147" spans="1:55" s="112" customFormat="1" ht="24.75" customHeight="1" x14ac:dyDescent="0.3">
      <c r="A147" s="426" t="str">
        <f>tilasto!B23</f>
        <v>Hyttinen Pasi</v>
      </c>
      <c r="B147" s="426"/>
      <c r="C147" s="426"/>
      <c r="D147" s="30">
        <f>SUM(L61:L67,L121:L127)</f>
        <v>198</v>
      </c>
      <c r="E147" s="30">
        <f>SUM(L68,L128)</f>
        <v>10</v>
      </c>
      <c r="F147" s="30">
        <f>SUM(M68,M128)</f>
        <v>2</v>
      </c>
      <c r="G147" s="30">
        <f>SUM(M61:M67,M121:M127)</f>
        <v>232</v>
      </c>
      <c r="H147" s="326">
        <f>SUM(N61:N67,N121:N127)</f>
        <v>4778</v>
      </c>
      <c r="I147" s="217"/>
      <c r="J147" s="30">
        <f>SUM(R61,R121)</f>
        <v>2</v>
      </c>
      <c r="K147" s="30">
        <f t="shared" si="39"/>
        <v>8</v>
      </c>
      <c r="L147" s="30">
        <f>SUM(O61:O67,O121:O127)</f>
        <v>14</v>
      </c>
      <c r="M147" s="30">
        <f>SUM(P61:P67,P121:P127)</f>
        <v>0</v>
      </c>
      <c r="N147" s="240">
        <f t="shared" si="40"/>
        <v>24.131313131313131</v>
      </c>
      <c r="O147" s="425">
        <f t="shared" si="41"/>
        <v>1.4</v>
      </c>
      <c r="P147" s="425"/>
      <c r="Q147" s="425"/>
      <c r="R147" s="5"/>
      <c r="S147" s="5"/>
      <c r="T147" s="118"/>
      <c r="U147" s="118"/>
      <c r="V147" s="142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4"/>
      <c r="AT147" s="4"/>
      <c r="AU147" s="133"/>
      <c r="AV147" s="133"/>
      <c r="AW147" s="133"/>
      <c r="AX147" s="133"/>
      <c r="AY147" s="133"/>
      <c r="AZ147" s="133"/>
      <c r="BA147" s="133"/>
      <c r="BB147" s="133"/>
      <c r="BC147" s="133"/>
    </row>
    <row r="148" spans="1:55" s="112" customFormat="1" x14ac:dyDescent="0.3">
      <c r="A148" s="5"/>
      <c r="B148" s="5"/>
      <c r="C148" s="21"/>
      <c r="D148" s="129"/>
      <c r="E148" s="5"/>
      <c r="F148" s="52"/>
      <c r="G148" s="5"/>
      <c r="H148" s="5"/>
      <c r="I148" s="18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42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118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4"/>
      <c r="AT148" s="4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55" s="4" customFormat="1" x14ac:dyDescent="0.3">
      <c r="A149" s="5"/>
      <c r="B149" s="5"/>
      <c r="C149" s="21"/>
      <c r="D149" s="21"/>
      <c r="E149" s="5"/>
      <c r="F149" s="52"/>
      <c r="G149" s="5"/>
      <c r="H149" s="5"/>
      <c r="I149" s="18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42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118"/>
      <c r="AI149" s="118"/>
      <c r="AJ149" s="118"/>
      <c r="AK149" s="118"/>
      <c r="AU149" s="133"/>
      <c r="AV149" s="133"/>
      <c r="AW149" s="133"/>
      <c r="AX149" s="133"/>
      <c r="AY149" s="133"/>
      <c r="AZ149" s="133"/>
      <c r="BA149" s="133"/>
      <c r="BB149" s="133"/>
      <c r="BC149" s="133"/>
    </row>
    <row r="150" spans="1:55" s="4" customFormat="1" x14ac:dyDescent="0.3">
      <c r="A150" s="5"/>
      <c r="B150" s="5"/>
      <c r="C150" s="21"/>
      <c r="D150" s="21"/>
      <c r="E150" s="5"/>
      <c r="F150" s="52"/>
      <c r="G150" s="5"/>
      <c r="H150" s="5"/>
      <c r="I150" s="18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42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118"/>
      <c r="AI150" s="118"/>
      <c r="AJ150" s="118"/>
      <c r="AK150" s="118"/>
      <c r="AU150" s="133"/>
      <c r="AV150" s="133"/>
      <c r="AW150" s="133"/>
      <c r="AX150" s="133"/>
      <c r="AY150" s="133"/>
      <c r="AZ150" s="133"/>
      <c r="BA150" s="133"/>
      <c r="BB150" s="133"/>
      <c r="BC150" s="133"/>
    </row>
    <row r="151" spans="1:55" s="4" customFormat="1" x14ac:dyDescent="0.3">
      <c r="A151" s="5"/>
      <c r="C151" s="112"/>
      <c r="D151" s="112"/>
      <c r="F151" s="109"/>
      <c r="I151" s="110"/>
      <c r="J151" s="111"/>
      <c r="K151" s="110"/>
      <c r="L151" s="168"/>
      <c r="M151" s="168"/>
      <c r="O151" s="170"/>
      <c r="P151" s="112"/>
      <c r="Q151" s="133"/>
      <c r="T151" s="133"/>
      <c r="U151" s="133"/>
      <c r="V151" s="14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118"/>
      <c r="AI151" s="118"/>
      <c r="AJ151" s="118"/>
      <c r="AK151" s="118"/>
      <c r="AU151" s="133"/>
      <c r="AV151" s="133"/>
      <c r="AW151" s="133"/>
      <c r="AX151" s="133"/>
      <c r="AY151" s="133"/>
      <c r="AZ151" s="133"/>
      <c r="BA151" s="133"/>
      <c r="BB151" s="133"/>
      <c r="BC151" s="133"/>
    </row>
    <row r="152" spans="1:55" s="4" customFormat="1" x14ac:dyDescent="0.3">
      <c r="A152" s="5"/>
      <c r="C152" s="112"/>
      <c r="D152" s="112"/>
      <c r="F152" s="109"/>
      <c r="I152" s="110"/>
      <c r="J152" s="111"/>
      <c r="K152" s="110"/>
      <c r="L152" s="168"/>
      <c r="M152" s="168"/>
      <c r="O152" s="170"/>
      <c r="P152" s="112"/>
      <c r="Q152" s="133"/>
      <c r="T152" s="133"/>
      <c r="U152" s="133"/>
      <c r="V152" s="14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118"/>
      <c r="AI152" s="118"/>
      <c r="AJ152" s="118"/>
      <c r="AK152" s="118"/>
      <c r="AU152" s="133"/>
      <c r="AV152" s="133"/>
      <c r="AW152" s="133"/>
      <c r="AX152" s="133"/>
      <c r="AY152" s="133"/>
      <c r="AZ152" s="133"/>
      <c r="BA152" s="133"/>
      <c r="BB152" s="133"/>
      <c r="BC152" s="133"/>
    </row>
    <row r="153" spans="1:55" s="4" customFormat="1" x14ac:dyDescent="0.3">
      <c r="A153" s="5"/>
      <c r="C153" s="112"/>
      <c r="D153" s="112"/>
      <c r="F153" s="109"/>
      <c r="I153" s="110"/>
      <c r="J153" s="111"/>
      <c r="K153" s="110"/>
      <c r="L153" s="168"/>
      <c r="M153" s="168"/>
      <c r="O153" s="170"/>
      <c r="P153" s="112"/>
      <c r="Q153" s="133"/>
      <c r="T153" s="133"/>
      <c r="U153" s="133"/>
      <c r="V153" s="14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118"/>
      <c r="AI153" s="118"/>
      <c r="AJ153" s="118"/>
      <c r="AK153" s="118"/>
      <c r="AU153" s="133"/>
      <c r="AV153" s="133"/>
      <c r="AW153" s="133"/>
      <c r="AX153" s="133"/>
      <c r="AY153" s="133"/>
      <c r="AZ153" s="133"/>
      <c r="BA153" s="133"/>
      <c r="BB153" s="133"/>
      <c r="BC153" s="133"/>
    </row>
    <row r="154" spans="1:55" s="4" customFormat="1" x14ac:dyDescent="0.3">
      <c r="A154" s="5"/>
      <c r="C154" s="112"/>
      <c r="D154" s="112"/>
      <c r="F154" s="109"/>
      <c r="I154" s="110"/>
      <c r="J154" s="111"/>
      <c r="K154" s="110"/>
      <c r="L154" s="168"/>
      <c r="M154" s="168"/>
      <c r="O154" s="170"/>
      <c r="P154" s="112"/>
      <c r="Q154" s="133"/>
      <c r="T154" s="133"/>
      <c r="U154" s="133"/>
      <c r="V154" s="14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118"/>
      <c r="AI154" s="118"/>
      <c r="AJ154" s="118"/>
      <c r="AK154" s="118"/>
      <c r="AU154" s="133"/>
      <c r="AV154" s="133"/>
      <c r="AW154" s="133"/>
      <c r="AX154" s="133"/>
      <c r="AY154" s="133"/>
      <c r="AZ154" s="133"/>
      <c r="BA154" s="133"/>
      <c r="BB154" s="133"/>
      <c r="BC154" s="133"/>
    </row>
    <row r="155" spans="1:55" s="4" customFormat="1" x14ac:dyDescent="0.3">
      <c r="A155" s="5"/>
      <c r="C155" s="112"/>
      <c r="D155" s="112"/>
      <c r="F155" s="109"/>
      <c r="I155" s="110"/>
      <c r="J155" s="111"/>
      <c r="K155" s="110"/>
      <c r="L155" s="168"/>
      <c r="M155" s="168"/>
      <c r="O155" s="170"/>
      <c r="P155" s="112"/>
      <c r="Q155" s="133"/>
      <c r="T155" s="133"/>
      <c r="U155" s="133"/>
      <c r="V155" s="14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118"/>
      <c r="AI155" s="118"/>
      <c r="AJ155" s="118"/>
      <c r="AK155" s="118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55" s="4" customFormat="1" x14ac:dyDescent="0.3">
      <c r="A156" s="5"/>
      <c r="C156" s="112"/>
      <c r="D156" s="112"/>
      <c r="F156" s="109"/>
      <c r="I156" s="110"/>
      <c r="J156" s="111"/>
      <c r="K156" s="110"/>
      <c r="L156" s="168"/>
      <c r="M156" s="168"/>
      <c r="O156" s="170"/>
      <c r="P156" s="112"/>
      <c r="Q156" s="133"/>
      <c r="T156" s="133"/>
      <c r="U156" s="133"/>
      <c r="V156" s="14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U156" s="133"/>
      <c r="AV156" s="133"/>
      <c r="AW156" s="133"/>
      <c r="AX156" s="133"/>
      <c r="AY156" s="133"/>
      <c r="AZ156" s="133"/>
      <c r="BA156" s="133"/>
      <c r="BB156" s="133"/>
      <c r="BC156" s="133"/>
    </row>
    <row r="157" spans="1:55" s="4" customFormat="1" x14ac:dyDescent="0.3">
      <c r="A157" s="5"/>
      <c r="C157" s="112"/>
      <c r="D157" s="112"/>
      <c r="F157" s="109"/>
      <c r="I157" s="110"/>
      <c r="J157" s="111"/>
      <c r="K157" s="110"/>
      <c r="L157" s="168"/>
      <c r="M157" s="168"/>
      <c r="O157" s="170"/>
      <c r="P157" s="112"/>
      <c r="Q157" s="133"/>
      <c r="T157" s="133"/>
      <c r="U157" s="133"/>
      <c r="V157" s="14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</row>
    <row r="158" spans="1:55" s="4" customFormat="1" x14ac:dyDescent="0.3">
      <c r="A158" s="5"/>
      <c r="C158" s="112"/>
      <c r="D158" s="112"/>
      <c r="F158" s="109"/>
      <c r="I158" s="110"/>
      <c r="J158" s="111"/>
      <c r="K158" s="110"/>
      <c r="L158" s="168"/>
      <c r="M158" s="168"/>
      <c r="O158" s="170"/>
      <c r="P158" s="112"/>
      <c r="Q158" s="133"/>
      <c r="T158" s="133"/>
      <c r="U158" s="133"/>
      <c r="V158" s="14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</row>
    <row r="159" spans="1:55" s="4" customFormat="1" x14ac:dyDescent="0.3">
      <c r="A159" s="5"/>
      <c r="C159" s="112"/>
      <c r="D159" s="112"/>
      <c r="F159" s="109"/>
      <c r="I159" s="110"/>
      <c r="J159" s="111"/>
      <c r="K159" s="110"/>
      <c r="L159" s="168"/>
      <c r="M159" s="168"/>
      <c r="O159" s="170"/>
      <c r="P159" s="112"/>
      <c r="Q159" s="133"/>
      <c r="T159" s="133"/>
      <c r="U159" s="133"/>
      <c r="V159" s="14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</row>
    <row r="160" spans="1:55" s="4" customFormat="1" x14ac:dyDescent="0.3">
      <c r="A160" s="5"/>
      <c r="C160" s="112"/>
      <c r="D160" s="112"/>
      <c r="F160" s="109"/>
      <c r="I160" s="110"/>
      <c r="J160" s="111"/>
      <c r="K160" s="110"/>
      <c r="L160" s="168"/>
      <c r="M160" s="168"/>
      <c r="O160" s="170"/>
      <c r="P160" s="112"/>
      <c r="Q160" s="133"/>
      <c r="T160" s="133"/>
      <c r="U160" s="133"/>
      <c r="V160" s="14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</row>
    <row r="161" spans="1:55" s="4" customFormat="1" x14ac:dyDescent="0.3">
      <c r="A161" s="5"/>
      <c r="C161" s="112"/>
      <c r="D161" s="112"/>
      <c r="F161" s="109"/>
      <c r="I161" s="110"/>
      <c r="J161" s="111"/>
      <c r="K161" s="110"/>
      <c r="L161" s="168"/>
      <c r="M161" s="168"/>
      <c r="O161" s="170"/>
      <c r="P161" s="112"/>
      <c r="Q161" s="133"/>
      <c r="T161" s="133"/>
      <c r="U161" s="133"/>
      <c r="V161" s="14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</row>
    <row r="162" spans="1:55" s="4" customFormat="1" x14ac:dyDescent="0.3">
      <c r="A162" s="5"/>
      <c r="C162" s="112"/>
      <c r="D162" s="112"/>
      <c r="F162" s="109"/>
      <c r="I162" s="110"/>
      <c r="J162" s="111"/>
      <c r="K162" s="110"/>
      <c r="L162" s="168"/>
      <c r="M162" s="168"/>
      <c r="O162" s="170"/>
      <c r="P162" s="112"/>
      <c r="Q162" s="133"/>
      <c r="T162" s="133"/>
      <c r="U162" s="133"/>
      <c r="V162" s="14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</row>
    <row r="163" spans="1:55" s="4" customFormat="1" x14ac:dyDescent="0.3">
      <c r="A163" s="5"/>
      <c r="C163" s="112"/>
      <c r="D163" s="112"/>
      <c r="F163" s="109"/>
      <c r="I163" s="110"/>
      <c r="J163" s="111"/>
      <c r="K163" s="110"/>
      <c r="L163" s="168"/>
      <c r="M163" s="168"/>
      <c r="O163" s="170"/>
      <c r="P163" s="112"/>
      <c r="Q163" s="133"/>
      <c r="T163" s="133"/>
      <c r="U163" s="133"/>
      <c r="V163" s="14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</row>
    <row r="164" spans="1:55" s="4" customFormat="1" x14ac:dyDescent="0.3">
      <c r="A164" s="5"/>
      <c r="C164" s="112"/>
      <c r="D164" s="112"/>
      <c r="F164" s="109"/>
      <c r="I164" s="110"/>
      <c r="J164" s="111"/>
      <c r="K164" s="110"/>
      <c r="L164" s="168"/>
      <c r="M164" s="168"/>
      <c r="O164" s="170"/>
      <c r="P164" s="112"/>
      <c r="Q164" s="133"/>
      <c r="T164" s="133"/>
      <c r="U164" s="133"/>
      <c r="V164" s="14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</row>
    <row r="165" spans="1:55" s="4" customFormat="1" x14ac:dyDescent="0.3">
      <c r="A165" s="5"/>
      <c r="C165" s="112"/>
      <c r="D165" s="112"/>
      <c r="F165" s="109"/>
      <c r="I165" s="110"/>
      <c r="J165" s="111"/>
      <c r="K165" s="110"/>
      <c r="L165" s="168"/>
      <c r="M165" s="168"/>
      <c r="O165" s="170"/>
      <c r="P165" s="112"/>
      <c r="Q165" s="133"/>
      <c r="T165" s="133"/>
      <c r="U165" s="133"/>
      <c r="V165" s="14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</row>
    <row r="166" spans="1:55" s="4" customFormat="1" x14ac:dyDescent="0.3">
      <c r="A166" s="5"/>
      <c r="C166" s="112"/>
      <c r="D166" s="112"/>
      <c r="F166" s="109"/>
      <c r="I166" s="110"/>
      <c r="J166" s="111"/>
      <c r="K166" s="110"/>
      <c r="L166" s="168"/>
      <c r="M166" s="168"/>
      <c r="O166" s="170"/>
      <c r="P166" s="112"/>
      <c r="Q166" s="133"/>
      <c r="T166" s="133"/>
      <c r="U166" s="133"/>
      <c r="V166" s="14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</row>
    <row r="167" spans="1:55" s="4" customFormat="1" x14ac:dyDescent="0.3">
      <c r="A167" s="5"/>
      <c r="C167" s="112"/>
      <c r="D167" s="112"/>
      <c r="F167" s="109"/>
      <c r="I167" s="110"/>
      <c r="J167" s="111"/>
      <c r="K167" s="110"/>
      <c r="L167" s="168"/>
      <c r="M167" s="168"/>
      <c r="O167" s="170"/>
      <c r="P167" s="112"/>
      <c r="Q167" s="133"/>
      <c r="T167" s="133"/>
      <c r="U167" s="133"/>
      <c r="V167" s="14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</row>
    <row r="168" spans="1:55" s="4" customFormat="1" x14ac:dyDescent="0.3">
      <c r="A168" s="5"/>
      <c r="C168" s="112"/>
      <c r="D168" s="112"/>
      <c r="F168" s="109"/>
      <c r="I168" s="110"/>
      <c r="J168" s="111"/>
      <c r="K168" s="110"/>
      <c r="L168" s="168"/>
      <c r="M168" s="168"/>
      <c r="O168" s="170"/>
      <c r="P168" s="112"/>
      <c r="Q168" s="133"/>
      <c r="T168" s="133"/>
      <c r="U168" s="133"/>
      <c r="V168" s="14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</row>
    <row r="169" spans="1:55" s="4" customFormat="1" x14ac:dyDescent="0.3">
      <c r="A169" s="5"/>
      <c r="C169" s="112"/>
      <c r="D169" s="112"/>
      <c r="F169" s="109"/>
      <c r="I169" s="110"/>
      <c r="J169" s="111"/>
      <c r="K169" s="110"/>
      <c r="L169" s="168"/>
      <c r="M169" s="168"/>
      <c r="O169" s="170"/>
      <c r="P169" s="112"/>
      <c r="Q169" s="133"/>
      <c r="T169" s="133"/>
      <c r="U169" s="133"/>
      <c r="V169" s="14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</row>
    <row r="170" spans="1:55" s="4" customFormat="1" x14ac:dyDescent="0.3">
      <c r="A170" s="5"/>
      <c r="C170" s="112"/>
      <c r="D170" s="112"/>
      <c r="F170" s="109"/>
      <c r="I170" s="110"/>
      <c r="J170" s="111"/>
      <c r="K170" s="110"/>
      <c r="L170" s="168"/>
      <c r="M170" s="168"/>
      <c r="O170" s="170"/>
      <c r="P170" s="112"/>
      <c r="Q170" s="133"/>
      <c r="T170" s="133"/>
      <c r="U170" s="133"/>
      <c r="V170" s="14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</row>
    <row r="171" spans="1:55" s="4" customFormat="1" x14ac:dyDescent="0.3">
      <c r="A171" s="5"/>
      <c r="C171" s="112"/>
      <c r="D171" s="112"/>
      <c r="F171" s="109"/>
      <c r="I171" s="110"/>
      <c r="J171" s="111"/>
      <c r="K171" s="110"/>
      <c r="L171" s="168"/>
      <c r="M171" s="168"/>
      <c r="O171" s="170"/>
      <c r="P171" s="112"/>
      <c r="Q171" s="133"/>
      <c r="T171" s="133"/>
      <c r="U171" s="133"/>
      <c r="V171" s="14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</row>
    <row r="172" spans="1:55" s="4" customFormat="1" x14ac:dyDescent="0.3">
      <c r="A172" s="5"/>
      <c r="C172" s="112"/>
      <c r="D172" s="112"/>
      <c r="F172" s="109"/>
      <c r="I172" s="110"/>
      <c r="J172" s="111"/>
      <c r="K172" s="110"/>
      <c r="L172" s="168"/>
      <c r="M172" s="168"/>
      <c r="O172" s="170"/>
      <c r="P172" s="112"/>
      <c r="Q172" s="133"/>
      <c r="T172" s="133"/>
      <c r="U172" s="133"/>
      <c r="V172" s="14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</row>
    <row r="173" spans="1:55" s="4" customFormat="1" x14ac:dyDescent="0.3">
      <c r="A173" s="5"/>
      <c r="C173" s="112"/>
      <c r="D173" s="112"/>
      <c r="F173" s="109"/>
      <c r="I173" s="110"/>
      <c r="J173" s="111"/>
      <c r="K173" s="110"/>
      <c r="L173" s="168"/>
      <c r="M173" s="168"/>
      <c r="O173" s="170"/>
      <c r="P173" s="112"/>
      <c r="Q173" s="133"/>
      <c r="T173" s="133"/>
      <c r="U173" s="133"/>
      <c r="V173" s="14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</row>
    <row r="174" spans="1:55" s="4" customFormat="1" x14ac:dyDescent="0.3">
      <c r="A174" s="5"/>
      <c r="C174" s="112"/>
      <c r="D174" s="112"/>
      <c r="F174" s="109"/>
      <c r="I174" s="110"/>
      <c r="J174" s="111"/>
      <c r="K174" s="110"/>
      <c r="L174" s="168"/>
      <c r="M174" s="168"/>
      <c r="O174" s="170"/>
      <c r="P174" s="112"/>
      <c r="Q174" s="133"/>
      <c r="T174" s="133"/>
      <c r="U174" s="133"/>
      <c r="V174" s="14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</row>
    <row r="175" spans="1:55" s="4" customFormat="1" x14ac:dyDescent="0.3">
      <c r="A175" s="5"/>
      <c r="C175" s="112"/>
      <c r="D175" s="112"/>
      <c r="F175" s="109"/>
      <c r="I175" s="110"/>
      <c r="J175" s="111"/>
      <c r="K175" s="110"/>
      <c r="L175" s="168"/>
      <c r="M175" s="168"/>
      <c r="O175" s="170"/>
      <c r="P175" s="112"/>
      <c r="Q175" s="133"/>
      <c r="T175" s="133"/>
      <c r="U175" s="133"/>
      <c r="V175" s="14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</row>
    <row r="176" spans="1:55" s="4" customFormat="1" x14ac:dyDescent="0.3">
      <c r="A176" s="5"/>
      <c r="C176" s="112"/>
      <c r="D176" s="112"/>
      <c r="F176" s="109"/>
      <c r="I176" s="110"/>
      <c r="J176" s="111"/>
      <c r="K176" s="110"/>
      <c r="L176" s="168"/>
      <c r="M176" s="168"/>
      <c r="O176" s="170"/>
      <c r="P176" s="112"/>
      <c r="Q176" s="133"/>
      <c r="T176" s="133"/>
      <c r="U176" s="133"/>
      <c r="V176" s="14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</row>
  </sheetData>
  <sheetProtection algorithmName="SHA-512" hashValue="nUQLdTLziU6hPSPwNxxC1LOm6QKxd6srzu7JdwXDyTAKC7r0AyWT0ReN85cFl5/aHpFho52AVA74kNLCAco8Ig==" saltValue="w9Q7KimpQM+3wO+WhUacmA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02">
    <mergeCell ref="AF9:AG9"/>
    <mergeCell ref="C10:L10"/>
    <mergeCell ref="P10:AE10"/>
    <mergeCell ref="AF10:AG10"/>
    <mergeCell ref="C11:L11"/>
    <mergeCell ref="P11:AE11"/>
    <mergeCell ref="G28:N28"/>
    <mergeCell ref="W26:AH26"/>
    <mergeCell ref="J20:O20"/>
    <mergeCell ref="J21:O21"/>
    <mergeCell ref="AF11:AG11"/>
    <mergeCell ref="C12:L12"/>
    <mergeCell ref="P12:AE12"/>
    <mergeCell ref="AF12:AG12"/>
    <mergeCell ref="C17:G17"/>
    <mergeCell ref="B26:F26"/>
    <mergeCell ref="O26:V26"/>
    <mergeCell ref="J15:O15"/>
    <mergeCell ref="J16:O16"/>
    <mergeCell ref="C15:G15"/>
    <mergeCell ref="W27:AH27"/>
    <mergeCell ref="W28:AH28"/>
    <mergeCell ref="A147:C147"/>
    <mergeCell ref="O147:Q147"/>
    <mergeCell ref="A38:A40"/>
    <mergeCell ref="A50:A52"/>
    <mergeCell ref="A62:A64"/>
    <mergeCell ref="C70:G70"/>
    <mergeCell ref="A146:C146"/>
    <mergeCell ref="G26:N26"/>
    <mergeCell ref="G27:N27"/>
    <mergeCell ref="C58:G58"/>
    <mergeCell ref="I119:J119"/>
    <mergeCell ref="C34:G34"/>
    <mergeCell ref="A133:A135"/>
    <mergeCell ref="A145:C145"/>
    <mergeCell ref="O145:Q145"/>
    <mergeCell ref="O146:Q146"/>
    <mergeCell ref="O141:Q141"/>
    <mergeCell ref="A140:C140"/>
    <mergeCell ref="A144:C144"/>
    <mergeCell ref="A143:C143"/>
    <mergeCell ref="A141:C141"/>
    <mergeCell ref="O140:Q140"/>
    <mergeCell ref="O144:Q144"/>
    <mergeCell ref="O142:Q142"/>
    <mergeCell ref="O143:Q143"/>
    <mergeCell ref="C106:G106"/>
    <mergeCell ref="A142:C142"/>
    <mergeCell ref="C118:G118"/>
    <mergeCell ref="L118:R118"/>
    <mergeCell ref="A122:A124"/>
    <mergeCell ref="A98:A100"/>
    <mergeCell ref="L82:R82"/>
    <mergeCell ref="I130:J130"/>
    <mergeCell ref="I83:J83"/>
    <mergeCell ref="C94:G94"/>
    <mergeCell ref="C82:G82"/>
    <mergeCell ref="L70:R70"/>
    <mergeCell ref="L94:R94"/>
    <mergeCell ref="A110:A112"/>
    <mergeCell ref="I95:J95"/>
    <mergeCell ref="I107:J107"/>
    <mergeCell ref="L106:R106"/>
    <mergeCell ref="A86:A88"/>
    <mergeCell ref="W30:AH30"/>
    <mergeCell ref="L58:R58"/>
    <mergeCell ref="L34:R34"/>
    <mergeCell ref="B32:S32"/>
    <mergeCell ref="W29:AH29"/>
    <mergeCell ref="O27:V27"/>
    <mergeCell ref="O28:V28"/>
    <mergeCell ref="O29:V29"/>
    <mergeCell ref="G29:N29"/>
    <mergeCell ref="B29:F29"/>
    <mergeCell ref="O23:P23"/>
    <mergeCell ref="C20:G20"/>
    <mergeCell ref="C21:G21"/>
    <mergeCell ref="T2:X2"/>
    <mergeCell ref="C9:L9"/>
    <mergeCell ref="I47:J47"/>
    <mergeCell ref="C46:G46"/>
    <mergeCell ref="L46:R46"/>
    <mergeCell ref="I35:J35"/>
    <mergeCell ref="B27:F27"/>
    <mergeCell ref="B28:F28"/>
    <mergeCell ref="A74:A76"/>
    <mergeCell ref="B30:F30"/>
    <mergeCell ref="G30:N30"/>
    <mergeCell ref="O30:V30"/>
    <mergeCell ref="I59:J59"/>
    <mergeCell ref="I71:J71"/>
    <mergeCell ref="P9:AE9"/>
    <mergeCell ref="AD13:AK13"/>
    <mergeCell ref="J14:O14"/>
    <mergeCell ref="J19:O19"/>
    <mergeCell ref="J17:O17"/>
    <mergeCell ref="J18:O18"/>
    <mergeCell ref="C14:G14"/>
    <mergeCell ref="C16:G16"/>
    <mergeCell ref="C18:G18"/>
    <mergeCell ref="C19:G19"/>
  </mergeCells>
  <conditionalFormatting sqref="A118:A121 B70:B77 A116 A70:A73 B68 O128:R128 C70:D72 C118:D120 C128:D128 N70:S80 B118:B125 F128:G128 S118:S128 O118:R119 C80:D80 F118:G125 K80:M80 L70:M72 K70:K77 H118:J118 K118:K125 K128:M128 E70:J70 E118:E128 N118:N128 L118:M120 E72:J80 E71:G71 H120:J128 O120:P125 A77:A80 A125:A128 A17:A18 S20:S22 S17:S18 U20:AK22 I20:I22 I17:I18 Q20:Q22 Q17:Q18 U17:AK18 A20:A21 A13">
    <cfRule type="expression" dxfId="28" priority="197" stopIfTrue="1">
      <formula>#REF!="x"</formula>
    </cfRule>
  </conditionalFormatting>
  <conditionalFormatting sqref="R14 T14">
    <cfRule type="expression" dxfId="27" priority="181" stopIfTrue="1">
      <formula>SUM($V$14:$AB$14,$AD$14:$AJ$14)=0</formula>
    </cfRule>
  </conditionalFormatting>
  <conditionalFormatting sqref="R15 T15">
    <cfRule type="expression" dxfId="26" priority="179" stopIfTrue="1">
      <formula>SUM($V$15:$AB$15,$AD$15:$AJ$15)=0</formula>
    </cfRule>
  </conditionalFormatting>
  <conditionalFormatting sqref="R16 T16">
    <cfRule type="expression" dxfId="25" priority="178" stopIfTrue="1">
      <formula>SUM($V$16:$AB$16,$AD$16:$AJ$16)=0</formula>
    </cfRule>
  </conditionalFormatting>
  <conditionalFormatting sqref="R17:R18 T17:T18">
    <cfRule type="expression" dxfId="24" priority="177" stopIfTrue="1">
      <formula>SUM($V$17:$AB$17,$AD$17:$AJ$17)=0</formula>
    </cfRule>
  </conditionalFormatting>
  <conditionalFormatting sqref="R19 T19">
    <cfRule type="expression" dxfId="23" priority="176" stopIfTrue="1">
      <formula>SUM($V$19:$AB$19,$AD$19:$AJ$19)=0</formula>
    </cfRule>
  </conditionalFormatting>
  <conditionalFormatting sqref="T20">
    <cfRule type="expression" dxfId="22" priority="175" stopIfTrue="1">
      <formula>SUM($V$20:$AB$20,$AD$20:$AJ$20)=0</formula>
    </cfRule>
  </conditionalFormatting>
  <conditionalFormatting sqref="T21:T22">
    <cfRule type="expression" dxfId="21" priority="174" stopIfTrue="1">
      <formula>SUM($V$21:$AB$21,$AD$21:$AJ$21)=0</formula>
    </cfRule>
  </conditionalFormatting>
  <conditionalFormatting sqref="R22 T22">
    <cfRule type="expression" dxfId="20" priority="156" stopIfTrue="1">
      <formula>SUM($R$14:$R$20,$T$14:$T$20)=0</formula>
    </cfRule>
  </conditionalFormatting>
  <conditionalFormatting sqref="R20">
    <cfRule type="expression" dxfId="19" priority="31" stopIfTrue="1">
      <formula>SUM($V$20:$AB$20,$AD$20:$AJ$20)=0</formula>
    </cfRule>
  </conditionalFormatting>
  <conditionalFormatting sqref="R21:R22">
    <cfRule type="expression" dxfId="18" priority="30" stopIfTrue="1">
      <formula>SUM($V$21:$AB$21,$AD$21:$AJ$21)=0</formula>
    </cfRule>
  </conditionalFormatting>
  <conditionalFormatting sqref="R18 T18">
    <cfRule type="expression" dxfId="17" priority="29" stopIfTrue="1">
      <formula>SUM($V$18:$AB$18,$AD$18:$AJ$18)=0</formula>
    </cfRule>
  </conditionalFormatting>
  <conditionalFormatting sqref="O26:O29">
    <cfRule type="cellIs" dxfId="16" priority="23" stopIfTrue="1" operator="equal">
      <formula>0</formula>
    </cfRule>
  </conditionalFormatting>
  <conditionalFormatting sqref="B26:F29">
    <cfRule type="cellIs" dxfId="15" priority="22" stopIfTrue="1" operator="equal">
      <formula>0</formula>
    </cfRule>
  </conditionalFormatting>
  <conditionalFormatting sqref="T2">
    <cfRule type="cellIs" dxfId="14" priority="4" stopIfTrue="1" operator="equal">
      <formula>0</formula>
    </cfRule>
  </conditionalFormatting>
  <conditionalFormatting sqref="B80">
    <cfRule type="expression" dxfId="13" priority="3" stopIfTrue="1">
      <formula>#REF!="x"</formula>
    </cfRule>
  </conditionalFormatting>
  <conditionalFormatting sqref="B128">
    <cfRule type="expression" dxfId="12" priority="1" stopIfTrue="1">
      <formula>#REF!="x"</formula>
    </cfRule>
  </conditionalFormatting>
  <printOptions horizontalCentered="1"/>
  <pageMargins left="0" right="0" top="0.59055118110236227" bottom="1.3385826771653544" header="0" footer="0"/>
  <pageSetup paperSize="9" scale="64" orientation="portrait" horizontalDpi="4294967293" verticalDpi="4294967293" r:id="rId2"/>
  <headerFooter alignWithMargins="0"/>
  <ignoredErrors>
    <ignoredError sqref="C20" formula="1"/>
    <ignoredError sqref="N140:O142 N143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6A62-826A-40C7-B07C-ECB70FAAF6C6}">
  <sheetPr>
    <tabColor theme="3"/>
    <pageSetUpPr fitToPage="1"/>
  </sheetPr>
  <dimension ref="A1:AY176"/>
  <sheetViews>
    <sheetView showGridLines="0" tabSelected="1" zoomScale="115" zoomScaleNormal="115" zoomScalePageLayoutView="55" workbookViewId="0">
      <selection activeCell="O124" sqref="O124"/>
    </sheetView>
  </sheetViews>
  <sheetFormatPr defaultColWidth="9.140625" defaultRowHeight="15" x14ac:dyDescent="0.2"/>
  <cols>
    <col min="1" max="1" width="2.42578125" style="2" customWidth="1"/>
    <col min="2" max="2" width="5.7109375" style="1" customWidth="1"/>
    <col min="3" max="3" width="6.7109375" style="1" customWidth="1"/>
    <col min="4" max="4" width="6.85546875" style="1" customWidth="1"/>
    <col min="5" max="5" width="7" style="1" customWidth="1"/>
    <col min="6" max="6" width="6.85546875" style="209" customWidth="1"/>
    <col min="7" max="7" width="7" style="1" customWidth="1"/>
    <col min="8" max="8" width="6.7109375" style="4" customWidth="1"/>
    <col min="9" max="9" width="2.85546875" style="268" customWidth="1"/>
    <col min="10" max="10" width="4" style="213" customWidth="1"/>
    <col min="11" max="11" width="2.5703125" style="206" customWidth="1"/>
    <col min="12" max="13" width="7" style="206" customWidth="1"/>
    <col min="14" max="14" width="6.5703125" style="1" customWidth="1"/>
    <col min="15" max="15" width="6.5703125" style="209" customWidth="1"/>
    <col min="16" max="16" width="6.85546875" style="1" customWidth="1"/>
    <col min="17" max="17" width="1.85546875" style="24" customWidth="1"/>
    <col min="18" max="18" width="3.5703125" style="266" customWidth="1"/>
    <col min="19" max="19" width="2.5703125" style="266" customWidth="1"/>
    <col min="20" max="20" width="3.7109375" style="24" customWidth="1"/>
    <col min="21" max="21" width="2.140625" style="24" customWidth="1"/>
    <col min="22" max="22" width="3.7109375" style="24" customWidth="1"/>
    <col min="23" max="24" width="3.85546875" style="24" bestFit="1" customWidth="1"/>
    <col min="25" max="25" width="3.85546875" style="24" customWidth="1"/>
    <col min="26" max="26" width="3.85546875" style="24" bestFit="1" customWidth="1"/>
    <col min="27" max="27" width="3.42578125" style="24" customWidth="1"/>
    <col min="28" max="29" width="4.28515625" style="24" customWidth="1"/>
    <col min="30" max="33" width="3.85546875" style="24" customWidth="1"/>
    <col min="34" max="34" width="3.85546875" style="1" customWidth="1"/>
    <col min="35" max="36" width="3.85546875" style="24" customWidth="1"/>
    <col min="37" max="37" width="2.28515625" style="24" customWidth="1"/>
    <col min="38" max="38" width="3.28515625" style="4" hidden="1" customWidth="1"/>
    <col min="39" max="39" width="10.85546875" style="4" hidden="1" customWidth="1"/>
    <col min="40" max="41" width="11" style="4" hidden="1" customWidth="1"/>
    <col min="42" max="42" width="9.140625" style="266" hidden="1" customWidth="1"/>
    <col min="43" max="44" width="0" style="266" hidden="1" customWidth="1"/>
    <col min="45" max="50" width="9.140625" style="24"/>
    <col min="51" max="16384" width="9.140625" style="1"/>
  </cols>
  <sheetData>
    <row r="1" spans="1:51" s="2" customFormat="1" ht="54.75" customHeight="1" x14ac:dyDescent="1">
      <c r="B1" s="97"/>
      <c r="C1" s="97"/>
      <c r="D1" s="97"/>
      <c r="E1" s="97"/>
      <c r="F1" s="97"/>
      <c r="G1" s="97"/>
      <c r="H1" s="5"/>
      <c r="I1" s="17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358"/>
      <c r="W1" s="358"/>
      <c r="X1" s="358"/>
      <c r="Y1" s="358"/>
      <c r="Z1" s="358"/>
      <c r="AA1" s="358"/>
      <c r="AB1" s="358"/>
      <c r="AC1" s="358"/>
      <c r="AD1" s="177"/>
      <c r="AE1" s="177"/>
      <c r="AF1" s="177"/>
      <c r="AG1" s="177"/>
      <c r="AH1" s="9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176"/>
      <c r="AT1" s="176"/>
      <c r="AU1" s="176"/>
      <c r="AV1" s="176"/>
      <c r="AW1" s="176"/>
      <c r="AX1" s="176"/>
    </row>
    <row r="2" spans="1:51" ht="30" customHeight="1" x14ac:dyDescent="1">
      <c r="B2" s="97"/>
      <c r="C2" s="97"/>
      <c r="D2" s="97"/>
      <c r="E2" s="97"/>
      <c r="F2" s="97"/>
      <c r="G2" s="97"/>
      <c r="H2" s="5"/>
      <c r="I2" s="177"/>
      <c r="J2" s="98"/>
      <c r="K2" s="37"/>
      <c r="L2" s="37"/>
      <c r="M2" s="99"/>
      <c r="N2" s="69" t="s">
        <v>67</v>
      </c>
      <c r="O2" s="1"/>
      <c r="Q2" s="178"/>
      <c r="R2" s="313"/>
      <c r="S2" s="313"/>
      <c r="T2" s="442">
        <f>tilasto!C7</f>
        <v>44541</v>
      </c>
      <c r="U2" s="442"/>
      <c r="V2" s="442"/>
      <c r="W2" s="442"/>
      <c r="X2" s="442"/>
      <c r="Y2" s="359"/>
      <c r="Z2" s="359"/>
      <c r="AA2" s="359"/>
      <c r="AB2" s="359"/>
      <c r="AC2" s="359"/>
      <c r="AD2" s="178"/>
      <c r="AE2" s="178"/>
      <c r="AF2" s="178"/>
      <c r="AG2" s="178"/>
      <c r="AH2" s="341"/>
      <c r="AI2" s="178"/>
      <c r="AJ2" s="178"/>
      <c r="AK2" s="178"/>
      <c r="AL2" s="296"/>
      <c r="AM2" s="296"/>
      <c r="AN2" s="296"/>
      <c r="AO2" s="296"/>
    </row>
    <row r="3" spans="1:51" s="2" customFormat="1" ht="20.25" customHeight="1" x14ac:dyDescent="0.25">
      <c r="B3" s="42"/>
      <c r="C3" s="42"/>
      <c r="D3" s="42"/>
      <c r="E3" s="42"/>
      <c r="F3" s="242"/>
      <c r="G3" s="42"/>
      <c r="H3" s="339"/>
      <c r="I3" s="43"/>
      <c r="J3" s="227"/>
      <c r="K3" s="227"/>
      <c r="L3" s="227"/>
      <c r="M3" s="205" t="s">
        <v>77</v>
      </c>
      <c r="N3" s="43"/>
      <c r="O3" s="43"/>
      <c r="P3" s="43"/>
      <c r="Q3" s="227"/>
      <c r="R3" s="225">
        <f>IF(tilasto!C5=0,"",tilasto!C5)</f>
        <v>3</v>
      </c>
      <c r="S3" s="229" t="str">
        <f>"Pelipaikka: "&amp;tilasto!C6</f>
        <v>Pelipaikka: Pub Grönan, Hanko</v>
      </c>
      <c r="T3" s="229"/>
      <c r="U3" s="229"/>
      <c r="V3" s="106"/>
      <c r="W3" s="106"/>
      <c r="X3" s="106"/>
      <c r="Y3" s="106"/>
      <c r="Z3" s="360"/>
      <c r="AA3" s="361"/>
      <c r="AB3" s="361"/>
      <c r="AC3" s="361"/>
      <c r="AD3" s="179"/>
      <c r="AE3" s="179"/>
      <c r="AF3" s="179"/>
      <c r="AG3" s="179"/>
      <c r="AH3" s="25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176"/>
      <c r="AT3" s="176"/>
      <c r="AU3" s="176"/>
      <c r="AV3" s="176"/>
      <c r="AW3" s="176"/>
      <c r="AX3" s="176"/>
    </row>
    <row r="4" spans="1:51" ht="27" hidden="1" customHeight="1" x14ac:dyDescent="0.3">
      <c r="B4" s="2"/>
      <c r="C4" s="2"/>
      <c r="F4" s="60"/>
      <c r="G4" s="51"/>
      <c r="H4" s="335"/>
      <c r="I4" s="232"/>
      <c r="J4" s="55"/>
      <c r="K4" s="75"/>
      <c r="L4" s="435"/>
      <c r="M4" s="435"/>
      <c r="N4" s="435"/>
      <c r="O4" s="242"/>
      <c r="P4" s="2"/>
      <c r="Q4" s="176"/>
      <c r="R4" s="279"/>
      <c r="S4" s="279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2"/>
      <c r="AI4" s="176"/>
      <c r="AJ4" s="176"/>
      <c r="AK4" s="176"/>
      <c r="AL4" s="4" t="s">
        <v>72</v>
      </c>
    </row>
    <row r="5" spans="1:51" s="101" customFormat="1" ht="11.25" hidden="1" customHeight="1" x14ac:dyDescent="0.35">
      <c r="A5" s="2"/>
      <c r="B5" s="41"/>
      <c r="C5" s="42"/>
      <c r="F5" s="436"/>
      <c r="G5" s="437"/>
      <c r="H5" s="437"/>
      <c r="I5" s="437"/>
      <c r="J5" s="437"/>
      <c r="K5" s="437"/>
      <c r="L5" s="437"/>
      <c r="M5" s="437"/>
      <c r="N5" s="43"/>
      <c r="O5" s="242"/>
      <c r="P5" s="2"/>
      <c r="Q5" s="176"/>
      <c r="R5" s="332"/>
      <c r="S5" s="438"/>
      <c r="T5" s="438"/>
      <c r="U5" s="186"/>
      <c r="V5" s="439"/>
      <c r="W5" s="439"/>
      <c r="X5" s="190"/>
      <c r="Y5" s="440"/>
      <c r="Z5" s="441"/>
      <c r="AA5" s="441"/>
      <c r="AB5" s="441"/>
      <c r="AC5" s="441"/>
      <c r="AD5" s="441"/>
      <c r="AE5" s="247"/>
      <c r="AF5" s="247"/>
      <c r="AG5" s="247"/>
      <c r="AH5" s="281"/>
      <c r="AI5" s="247"/>
      <c r="AJ5" s="247"/>
      <c r="AK5" s="176"/>
      <c r="AL5" s="4"/>
      <c r="AM5" s="4"/>
      <c r="AN5" s="4"/>
      <c r="AO5" s="4"/>
      <c r="AP5" s="331"/>
      <c r="AQ5" s="331"/>
      <c r="AR5" s="331"/>
      <c r="AS5" s="265"/>
      <c r="AT5" s="265"/>
      <c r="AU5" s="265"/>
      <c r="AV5" s="265"/>
      <c r="AW5" s="265"/>
      <c r="AX5" s="265"/>
    </row>
    <row r="6" spans="1:51" ht="44.25" customHeight="1" x14ac:dyDescent="0.25">
      <c r="A6" s="43"/>
      <c r="B6" s="171" t="str">
        <f>IF(tilasto!B17=0,"",tilasto!B17)</f>
        <v>Keski-Suomi Darts 1</v>
      </c>
      <c r="C6" s="283"/>
      <c r="D6" s="196"/>
      <c r="E6" s="196"/>
      <c r="F6" s="196"/>
      <c r="G6" s="196"/>
      <c r="H6" s="336"/>
      <c r="I6" s="233"/>
      <c r="J6" s="1"/>
      <c r="K6" s="62"/>
      <c r="L6" s="62"/>
      <c r="M6" s="63"/>
      <c r="N6" s="62"/>
      <c r="O6" s="53" t="str">
        <f>IF(tilasto!B8=0,"",tilasto!B8)</f>
        <v>Grönan DC 1</v>
      </c>
      <c r="P6" s="64"/>
      <c r="Q6" s="197"/>
      <c r="R6" s="306"/>
      <c r="S6" s="306"/>
      <c r="T6" s="197"/>
      <c r="U6" s="197"/>
      <c r="V6" s="362"/>
      <c r="W6" s="362"/>
      <c r="X6" s="362"/>
      <c r="Y6" s="362"/>
      <c r="Z6" s="362"/>
      <c r="AA6" s="362"/>
      <c r="AB6" s="362"/>
      <c r="AC6" s="362"/>
      <c r="AD6" s="197"/>
      <c r="AE6" s="197"/>
      <c r="AF6" s="197"/>
      <c r="AG6" s="197"/>
      <c r="AH6" s="63"/>
      <c r="AI6" s="187"/>
      <c r="AJ6" s="187"/>
      <c r="AK6" s="180"/>
      <c r="AL6" s="298"/>
      <c r="AM6" s="298"/>
      <c r="AN6" s="298"/>
      <c r="AO6" s="298"/>
      <c r="AR6" s="350"/>
      <c r="AS6" s="25"/>
      <c r="AT6" s="25"/>
      <c r="AU6" s="25"/>
      <c r="AV6" s="25"/>
      <c r="AW6" s="25"/>
    </row>
    <row r="7" spans="1:51" ht="15" customHeight="1" x14ac:dyDescent="0.25">
      <c r="B7" s="40" t="s">
        <v>38</v>
      </c>
      <c r="C7" s="2"/>
      <c r="D7" s="2"/>
      <c r="E7" s="2"/>
      <c r="F7" s="242"/>
      <c r="G7" s="2"/>
      <c r="H7" s="5"/>
      <c r="I7" s="176"/>
      <c r="J7" s="1"/>
      <c r="K7" s="2"/>
      <c r="L7" s="2"/>
      <c r="M7" s="2"/>
      <c r="O7" s="40" t="s">
        <v>65</v>
      </c>
      <c r="Q7" s="176"/>
      <c r="R7" s="279"/>
      <c r="S7" s="279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2"/>
      <c r="AI7" s="176"/>
      <c r="AJ7" s="176"/>
      <c r="AK7" s="176"/>
      <c r="AR7" s="267"/>
      <c r="AS7" s="25"/>
      <c r="AT7" s="25"/>
      <c r="AU7" s="25"/>
      <c r="AV7" s="25"/>
      <c r="AW7" s="25"/>
    </row>
    <row r="8" spans="1:51" ht="28.5" customHeight="1" x14ac:dyDescent="0.25">
      <c r="B8" s="2" t="s">
        <v>81</v>
      </c>
      <c r="C8" s="2"/>
      <c r="D8" s="2"/>
      <c r="E8" s="2"/>
      <c r="F8" s="242"/>
      <c r="G8" s="2"/>
      <c r="H8" s="337"/>
      <c r="I8" s="176"/>
      <c r="J8" s="98"/>
      <c r="K8" s="37"/>
      <c r="L8" s="37"/>
      <c r="M8" s="282"/>
      <c r="N8" s="243"/>
      <c r="O8" s="242"/>
      <c r="P8" s="2"/>
      <c r="Q8" s="176"/>
      <c r="R8" s="279"/>
      <c r="S8" s="279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447"/>
      <c r="AE8" s="447"/>
      <c r="AF8" s="176"/>
      <c r="AG8" s="176"/>
      <c r="AH8" s="449"/>
      <c r="AI8" s="449"/>
      <c r="AJ8" s="449"/>
      <c r="AK8" s="441"/>
      <c r="AR8" s="267"/>
      <c r="AS8" s="25"/>
      <c r="AT8" s="25"/>
      <c r="AU8" s="25"/>
      <c r="AV8" s="25"/>
      <c r="AW8" s="25"/>
    </row>
    <row r="9" spans="1:51" ht="27.75" customHeight="1" x14ac:dyDescent="0.25">
      <c r="B9" s="199">
        <v>1</v>
      </c>
      <c r="C9" s="389" t="str">
        <f>IF(tilasto!B20="","",tilasto!B20)</f>
        <v>Takkinen Uki</v>
      </c>
      <c r="D9" s="389"/>
      <c r="E9" s="389"/>
      <c r="F9" s="389"/>
      <c r="G9" s="389"/>
      <c r="H9" s="389"/>
      <c r="I9" s="389"/>
      <c r="J9" s="389"/>
      <c r="K9" s="389"/>
      <c r="L9" s="389"/>
      <c r="M9" s="208"/>
      <c r="N9" s="276"/>
      <c r="O9" s="199">
        <v>1</v>
      </c>
      <c r="P9" s="269" t="str">
        <f>IF(tilasto!B11="","",tilasto!B11)</f>
        <v>Högström Sami</v>
      </c>
      <c r="Q9" s="270"/>
      <c r="R9" s="333"/>
      <c r="S9" s="333"/>
      <c r="T9" s="270"/>
      <c r="U9" s="270"/>
      <c r="V9" s="363"/>
      <c r="W9" s="363"/>
      <c r="X9" s="363"/>
      <c r="Y9" s="363"/>
      <c r="Z9" s="363"/>
      <c r="AA9" s="363"/>
      <c r="AB9" s="363"/>
      <c r="AC9" s="363"/>
      <c r="AD9" s="445"/>
      <c r="AE9" s="445"/>
      <c r="AF9" s="429"/>
      <c r="AG9" s="430"/>
      <c r="AH9" s="201"/>
      <c r="AI9" s="244"/>
      <c r="AJ9" s="244"/>
      <c r="AK9" s="245"/>
      <c r="AM9" s="266"/>
      <c r="AR9" s="267"/>
      <c r="AS9" s="25"/>
      <c r="AT9" s="25"/>
      <c r="AU9" s="25"/>
      <c r="AV9" s="25"/>
      <c r="AW9" s="25"/>
      <c r="AX9" s="133"/>
      <c r="AY9" s="206"/>
    </row>
    <row r="10" spans="1:51" ht="27.75" customHeight="1" x14ac:dyDescent="0.25">
      <c r="B10" s="200">
        <v>2</v>
      </c>
      <c r="C10" s="389" t="str">
        <f>IF(tilasto!B21="","",tilasto!B21)</f>
        <v>Finnilä Pauli</v>
      </c>
      <c r="D10" s="389"/>
      <c r="E10" s="389"/>
      <c r="F10" s="389"/>
      <c r="G10" s="389"/>
      <c r="H10" s="389"/>
      <c r="I10" s="389"/>
      <c r="J10" s="389"/>
      <c r="K10" s="389"/>
      <c r="L10" s="389"/>
      <c r="M10" s="208"/>
      <c r="N10" s="276"/>
      <c r="O10" s="199">
        <v>2</v>
      </c>
      <c r="P10" s="269" t="str">
        <f>IF(tilasto!B12="","",tilasto!B12)</f>
        <v>Ek Matti</v>
      </c>
      <c r="Q10" s="270"/>
      <c r="R10" s="333"/>
      <c r="S10" s="333"/>
      <c r="T10" s="270"/>
      <c r="U10" s="270"/>
      <c r="V10" s="363"/>
      <c r="W10" s="363"/>
      <c r="X10" s="363"/>
      <c r="Y10" s="363"/>
      <c r="Z10" s="363"/>
      <c r="AA10" s="363"/>
      <c r="AB10" s="363"/>
      <c r="AC10" s="363"/>
      <c r="AD10" s="446"/>
      <c r="AE10" s="445"/>
      <c r="AF10" s="429"/>
      <c r="AG10" s="430"/>
      <c r="AH10" s="201"/>
      <c r="AI10" s="244"/>
      <c r="AJ10" s="244"/>
      <c r="AK10" s="245"/>
      <c r="AM10" s="266"/>
      <c r="AR10" s="267"/>
      <c r="AS10" s="25"/>
      <c r="AT10" s="25"/>
      <c r="AU10" s="25"/>
      <c r="AV10" s="25"/>
      <c r="AW10" s="25"/>
      <c r="AX10" s="133"/>
    </row>
    <row r="11" spans="1:51" ht="27.75" customHeight="1" x14ac:dyDescent="0.25">
      <c r="B11" s="200">
        <v>3</v>
      </c>
      <c r="C11" s="389" t="str">
        <f>IF(tilasto!B22="","",tilasto!B22)</f>
        <v>Viinikka Veijo</v>
      </c>
      <c r="D11" s="389"/>
      <c r="E11" s="389"/>
      <c r="F11" s="389"/>
      <c r="G11" s="389"/>
      <c r="H11" s="389"/>
      <c r="I11" s="389"/>
      <c r="J11" s="389"/>
      <c r="K11" s="389"/>
      <c r="L11" s="389"/>
      <c r="M11" s="208"/>
      <c r="N11" s="276"/>
      <c r="O11" s="199">
        <v>3</v>
      </c>
      <c r="P11" s="269" t="str">
        <f>IF(tilasto!B13="","",tilasto!B13)</f>
        <v>Kinnunen Tomi</v>
      </c>
      <c r="Q11" s="270"/>
      <c r="R11" s="333"/>
      <c r="S11" s="333"/>
      <c r="T11" s="270"/>
      <c r="U11" s="270"/>
      <c r="V11" s="363"/>
      <c r="W11" s="363"/>
      <c r="X11" s="363"/>
      <c r="Y11" s="363"/>
      <c r="Z11" s="363"/>
      <c r="AA11" s="363"/>
      <c r="AB11" s="363"/>
      <c r="AC11" s="363"/>
      <c r="AD11" s="445"/>
      <c r="AE11" s="445"/>
      <c r="AF11" s="429"/>
      <c r="AG11" s="430"/>
      <c r="AH11" s="201"/>
      <c r="AI11" s="244"/>
      <c r="AJ11" s="244"/>
      <c r="AK11" s="245"/>
      <c r="AR11" s="267"/>
      <c r="AS11" s="25"/>
      <c r="AT11" s="25"/>
      <c r="AU11" s="25"/>
      <c r="AV11" s="25"/>
      <c r="AW11" s="25"/>
    </row>
    <row r="12" spans="1:51" ht="27.75" customHeight="1" x14ac:dyDescent="0.25">
      <c r="B12" s="199">
        <v>4</v>
      </c>
      <c r="C12" s="389" t="str">
        <f>IF(tilasto!B23="","",tilasto!B23)</f>
        <v>Hyttinen Pasi</v>
      </c>
      <c r="D12" s="389"/>
      <c r="E12" s="389"/>
      <c r="F12" s="389"/>
      <c r="G12" s="389"/>
      <c r="H12" s="389"/>
      <c r="I12" s="389"/>
      <c r="J12" s="389"/>
      <c r="K12" s="389"/>
      <c r="L12" s="389"/>
      <c r="M12" s="208"/>
      <c r="N12" s="2"/>
      <c r="O12" s="200">
        <v>4</v>
      </c>
      <c r="P12" s="269" t="str">
        <f>IF(tilasto!B14="","",tilasto!B14)</f>
        <v>Selenius Peter</v>
      </c>
      <c r="Q12" s="270"/>
      <c r="R12" s="333"/>
      <c r="S12" s="333"/>
      <c r="T12" s="270"/>
      <c r="U12" s="270"/>
      <c r="V12" s="363"/>
      <c r="W12" s="363"/>
      <c r="X12" s="363"/>
      <c r="Y12" s="363"/>
      <c r="Z12" s="363"/>
      <c r="AA12" s="363"/>
      <c r="AB12" s="363"/>
      <c r="AC12" s="363"/>
      <c r="AD12" s="445"/>
      <c r="AE12" s="445"/>
      <c r="AF12" s="429"/>
      <c r="AG12" s="430"/>
      <c r="AH12" s="2"/>
      <c r="AI12" s="176"/>
      <c r="AJ12" s="176"/>
      <c r="AK12" s="176"/>
      <c r="AR12" s="267"/>
      <c r="AS12" s="25"/>
      <c r="AT12" s="25"/>
      <c r="AU12" s="25"/>
      <c r="AV12" s="25"/>
      <c r="AW12" s="25"/>
      <c r="AX12" s="133"/>
    </row>
    <row r="13" spans="1:51" ht="37.5" customHeight="1" x14ac:dyDescent="0.25">
      <c r="A13" s="349" t="str">
        <f>CONCATENATE(B6," aloittaa x:llä merkityt")</f>
        <v>Keski-Suomi Darts 1 aloittaa x:llä merkityt</v>
      </c>
      <c r="B13" s="2"/>
      <c r="C13" s="2"/>
      <c r="D13" s="2"/>
      <c r="E13" s="2"/>
      <c r="F13" s="242"/>
      <c r="G13" s="2"/>
      <c r="H13" s="21" t="s">
        <v>57</v>
      </c>
      <c r="I13" s="192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364"/>
      <c r="W13" s="364"/>
      <c r="X13" s="364"/>
      <c r="Y13" s="364"/>
      <c r="Z13" s="364"/>
      <c r="AA13" s="364"/>
      <c r="AB13" s="364"/>
      <c r="AC13" s="352"/>
      <c r="AD13" s="450"/>
      <c r="AE13" s="450"/>
      <c r="AF13" s="450"/>
      <c r="AG13" s="451"/>
      <c r="AH13" s="451"/>
      <c r="AI13" s="451"/>
      <c r="AJ13" s="451"/>
      <c r="AK13" s="451"/>
      <c r="AL13" s="5"/>
      <c r="AM13" s="5"/>
      <c r="AN13" s="5"/>
      <c r="AR13" s="267"/>
      <c r="AS13" s="25"/>
      <c r="AT13" s="25"/>
      <c r="AU13" s="25"/>
      <c r="AV13" s="25"/>
      <c r="AW13" s="25"/>
    </row>
    <row r="14" spans="1:51" ht="30" customHeight="1" x14ac:dyDescent="0.3">
      <c r="A14" s="32" t="s">
        <v>4</v>
      </c>
      <c r="B14" s="33" t="s">
        <v>53</v>
      </c>
      <c r="C14" s="443" t="str">
        <f>IF(C9=0,"",C9)</f>
        <v>Takkinen Uki</v>
      </c>
      <c r="D14" s="443"/>
      <c r="E14" s="443"/>
      <c r="F14" s="443"/>
      <c r="G14" s="444"/>
      <c r="H14" s="369">
        <f>IF(C37=0,"",SUM(E37:E43)/SUM(C37:C43))</f>
        <v>23.576470588235296</v>
      </c>
      <c r="I14" s="19" t="s">
        <v>5</v>
      </c>
      <c r="J14" s="407" t="str">
        <f>IF($M$6="x",IF(P11=0,"",P11),IF(P11=0,"",P11))</f>
        <v>Kinnunen Tomi</v>
      </c>
      <c r="K14" s="407"/>
      <c r="L14" s="407"/>
      <c r="M14" s="407"/>
      <c r="N14" s="407"/>
      <c r="O14" s="408"/>
      <c r="P14" s="368">
        <f>IF(L37=0,"",SUM(N37:N43)/SUM(L37:L43))</f>
        <v>20.857142857142858</v>
      </c>
      <c r="Q14" s="17"/>
      <c r="R14" s="372">
        <f>IF(C14="","",COUNT(V14:AB14))</f>
        <v>4</v>
      </c>
      <c r="S14" s="330" t="s">
        <v>5</v>
      </c>
      <c r="T14" s="372">
        <f>IF(J14&lt;&gt;"",COUNT(AD14:AJ14),"")</f>
        <v>0</v>
      </c>
      <c r="U14" s="374" t="s">
        <v>6</v>
      </c>
      <c r="V14" s="370">
        <f>IF(E37=501,C37,IF(AM14="l",1,""))</f>
        <v>20</v>
      </c>
      <c r="W14" s="370">
        <f>IF(E38=501,C38,IF(AN14="l",1,""))</f>
        <v>22</v>
      </c>
      <c r="X14" s="370">
        <f>IF(E39=501,C39,IF(AM14="l",1,""))</f>
        <v>22</v>
      </c>
      <c r="Y14" s="370">
        <f>IF(E40=501,C40,IF(AM14="l",1,""))</f>
        <v>21</v>
      </c>
      <c r="Z14" s="370" t="str">
        <f>IF(E41=501,C41,"")</f>
        <v/>
      </c>
      <c r="AA14" s="370" t="str">
        <f>IF(E42=501,C42,"")</f>
        <v/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 t="str">
        <f>IF(N38=501,L38,IF(AL14="l",1,""))</f>
        <v/>
      </c>
      <c r="AF14" s="370" t="str">
        <f>IF(N39=501,L39,IF(AL14="l",1,""))</f>
        <v/>
      </c>
      <c r="AG14" s="370" t="str">
        <f>IF(N40=501,L40,IF(AL14="l",1,""))</f>
        <v/>
      </c>
      <c r="AH14" s="370" t="str">
        <f>IF(N41=501,L41,"")</f>
        <v/>
      </c>
      <c r="AI14" s="370" t="str">
        <f>IF(N42=501,L42,"")</f>
        <v/>
      </c>
      <c r="AJ14" s="370" t="str">
        <f>IF(N43=501,L43,"")</f>
        <v/>
      </c>
      <c r="AK14" s="375" t="s">
        <v>7</v>
      </c>
      <c r="AL14" s="351">
        <f>H35</f>
        <v>0</v>
      </c>
      <c r="AM14" s="351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</row>
    <row r="15" spans="1:51" ht="30" customHeight="1" x14ac:dyDescent="0.3">
      <c r="A15" s="32"/>
      <c r="B15" s="33" t="s">
        <v>54</v>
      </c>
      <c r="C15" s="443" t="str">
        <f>IF($C10=0,"",$C10)</f>
        <v>Finnilä Pauli</v>
      </c>
      <c r="D15" s="443"/>
      <c r="E15" s="443"/>
      <c r="F15" s="443"/>
      <c r="G15" s="444"/>
      <c r="H15" s="369">
        <f>IF(C49=0,"",SUM(E49:E55)/SUM(C49:C55))</f>
        <v>25.709090909090911</v>
      </c>
      <c r="I15" s="19" t="s">
        <v>5</v>
      </c>
      <c r="J15" s="407" t="str">
        <f>IF($M$6="x",IF(P10=0,"",P10),IF(P12=0,"",P12))</f>
        <v>Selenius Peter</v>
      </c>
      <c r="K15" s="407"/>
      <c r="L15" s="407"/>
      <c r="M15" s="407"/>
      <c r="N15" s="407"/>
      <c r="O15" s="408"/>
      <c r="P15" s="368">
        <f>IF(L49=0,"",SUM(N49:N55)/SUM(L49:L55))</f>
        <v>22.537735849056602</v>
      </c>
      <c r="Q15" s="17"/>
      <c r="R15" s="372">
        <f t="shared" ref="R15:R21" si="0">IF(C15="","",COUNT(V15:AB15))</f>
        <v>4</v>
      </c>
      <c r="S15" s="330" t="s">
        <v>5</v>
      </c>
      <c r="T15" s="372">
        <f t="shared" ref="T15:T21" si="1">IF(J15&lt;&gt;"",COUNT(AD15:AJ15),"")</f>
        <v>2</v>
      </c>
      <c r="U15" s="374" t="s">
        <v>6</v>
      </c>
      <c r="V15" s="370" t="str">
        <f>IF(E49=501,C49,IF(AM15="l",1,""))</f>
        <v/>
      </c>
      <c r="W15" s="370">
        <f>IF(E50=501,C50,IF(AM15="l",1,""))</f>
        <v>15</v>
      </c>
      <c r="X15" s="370">
        <f>IF(E51=501,C51,IF(AM15="l",1,""))</f>
        <v>17</v>
      </c>
      <c r="Y15" s="370" t="str">
        <f>IF(E52=501,C52,IF(AM15="l",1,""))</f>
        <v/>
      </c>
      <c r="Z15" s="370">
        <f>IF(E53=501,C53,"")</f>
        <v>18</v>
      </c>
      <c r="AA15" s="370">
        <f>IF(E54=501,C54,"")</f>
        <v>21</v>
      </c>
      <c r="AB15" s="370" t="str">
        <f>IF(E55=501,C55,"")</f>
        <v/>
      </c>
      <c r="AC15" s="44" t="s">
        <v>5</v>
      </c>
      <c r="AD15" s="370">
        <f>IF(N49=501,L49,IF(AL15="l",1,""))</f>
        <v>21</v>
      </c>
      <c r="AE15" s="370" t="str">
        <f>IF(N50=501,L50,IF(AL15="l",1,""))</f>
        <v/>
      </c>
      <c r="AF15" s="370" t="str">
        <f>IF(N51=501,L51,IF(AL15="l",1,""))</f>
        <v/>
      </c>
      <c r="AG15" s="370">
        <f>IF(N52=501,L52,IF(AL15="l",1,""))</f>
        <v>19</v>
      </c>
      <c r="AH15" s="370" t="str">
        <f>IF(N53=501,L53,"")</f>
        <v/>
      </c>
      <c r="AI15" s="370" t="str">
        <f>IF(N54=501,L54,"")</f>
        <v/>
      </c>
      <c r="AJ15" s="370" t="str">
        <f>IF(N55=501,L55,"")</f>
        <v/>
      </c>
      <c r="AK15" s="375" t="s">
        <v>7</v>
      </c>
      <c r="AL15" s="351">
        <f>H47</f>
        <v>0</v>
      </c>
      <c r="AM15" s="351">
        <f>I47</f>
        <v>0</v>
      </c>
      <c r="AN15" s="5" t="str">
        <f t="shared" ref="AN15:AN21" si="2">IF(C15&lt;&gt;"",IF(J15&lt;&gt;"","Ok","-"),"-")</f>
        <v>Ok</v>
      </c>
      <c r="AO15" s="4" t="str">
        <f>IF(AND(AN15="ok",R15&lt;3),IF(AND(AN15="ok",T15&lt;3),"ei pelitietoja","-"),"-")</f>
        <v>-</v>
      </c>
    </row>
    <row r="16" spans="1:51" ht="30" customHeight="1" x14ac:dyDescent="0.3">
      <c r="A16" s="32" t="s">
        <v>4</v>
      </c>
      <c r="B16" s="33" t="s">
        <v>55</v>
      </c>
      <c r="C16" s="443" t="str">
        <f t="shared" ref="C16:C17" si="3">IF(C11=0,"",C11)</f>
        <v>Viinikka Veijo</v>
      </c>
      <c r="D16" s="443"/>
      <c r="E16" s="443"/>
      <c r="F16" s="443"/>
      <c r="G16" s="444"/>
      <c r="H16" s="369">
        <f>IF(C61=0,"",SUM(E61:E67)/SUM(C61:C67))</f>
        <v>24.854166666666668</v>
      </c>
      <c r="I16" s="19" t="s">
        <v>5</v>
      </c>
      <c r="J16" s="407" t="str">
        <f>IF($M$6="x",IF(P11=0,"",P11),IF(P9=0,"",P9))</f>
        <v>Högström Sami</v>
      </c>
      <c r="K16" s="407"/>
      <c r="L16" s="407"/>
      <c r="M16" s="407"/>
      <c r="N16" s="407"/>
      <c r="O16" s="408"/>
      <c r="P16" s="368">
        <f>IF(L61=0,"",SUM(N61:N67)/SUM(L61:L67))</f>
        <v>26.29032258064516</v>
      </c>
      <c r="Q16" s="17"/>
      <c r="R16" s="372">
        <f t="shared" si="0"/>
        <v>1</v>
      </c>
      <c r="S16" s="330" t="s">
        <v>5</v>
      </c>
      <c r="T16" s="372">
        <f t="shared" si="1"/>
        <v>4</v>
      </c>
      <c r="U16" s="374" t="s">
        <v>6</v>
      </c>
      <c r="V16" s="370" t="str">
        <f>IF(E61=501,C61,IF(AM16="l",1,""))</f>
        <v/>
      </c>
      <c r="W16" s="370" t="str">
        <f>IF(E62=501,C62,IF(AM16="l",1,""))</f>
        <v/>
      </c>
      <c r="X16" s="370" t="str">
        <f>IF(E63=501,C63,IF(AM16="l",1,""))</f>
        <v/>
      </c>
      <c r="Y16" s="370">
        <f>IF(E64=501,C64,IF(AM16="l",1,""))</f>
        <v>21</v>
      </c>
      <c r="Z16" s="370" t="str">
        <f>IF(E65=501,C65,"")</f>
        <v/>
      </c>
      <c r="AA16" s="370" t="str">
        <f>IF(E66=501,C66,"")</f>
        <v/>
      </c>
      <c r="AB16" s="370" t="str">
        <f>IF(E67=501,C67,"")</f>
        <v/>
      </c>
      <c r="AC16" s="44" t="s">
        <v>5</v>
      </c>
      <c r="AD16" s="370">
        <f>IF(N61=501,L61,IF(AL16="l",1,""))</f>
        <v>14</v>
      </c>
      <c r="AE16" s="370">
        <f>IF(N62=501,L62,IF(AL16="l",1,""))</f>
        <v>22</v>
      </c>
      <c r="AF16" s="370">
        <f>IF(N63=501,L63,IF(AL16="l",1,""))</f>
        <v>19</v>
      </c>
      <c r="AG16" s="370" t="str">
        <f>IF(N64=501,L64,IF(AL16="l",1,""))</f>
        <v/>
      </c>
      <c r="AH16" s="370">
        <f>IF(N65=501,L65,"")</f>
        <v>17</v>
      </c>
      <c r="AI16" s="370" t="str">
        <f>IF(N66=501,L66,"")</f>
        <v/>
      </c>
      <c r="AJ16" s="370" t="str">
        <f>IF(N67=501,L67,"")</f>
        <v/>
      </c>
      <c r="AK16" s="375" t="s">
        <v>7</v>
      </c>
      <c r="AL16" s="351">
        <f>H59</f>
        <v>0</v>
      </c>
      <c r="AM16" s="351">
        <f>I59</f>
        <v>0</v>
      </c>
      <c r="AN16" s="5" t="str">
        <f t="shared" si="2"/>
        <v>Ok</v>
      </c>
      <c r="AO16" s="4" t="str">
        <f>IF(AND(AN16="ok",R16&lt;3),IF(AND(AN16="ok",T16&lt;3),"ei pelitietoja","-"),"-")</f>
        <v>-</v>
      </c>
    </row>
    <row r="17" spans="1:50" ht="30" customHeight="1" x14ac:dyDescent="0.3">
      <c r="A17" s="32"/>
      <c r="B17" s="33" t="s">
        <v>56</v>
      </c>
      <c r="C17" s="443" t="str">
        <f t="shared" si="3"/>
        <v>Hyttinen Pasi</v>
      </c>
      <c r="D17" s="443"/>
      <c r="E17" s="443"/>
      <c r="F17" s="443"/>
      <c r="G17" s="444"/>
      <c r="H17" s="369">
        <f>IF(C73=0,"",SUM(E73:E79)/SUM(C73:C79))</f>
        <v>23.03448275862069</v>
      </c>
      <c r="I17" s="19" t="s">
        <v>5</v>
      </c>
      <c r="J17" s="407" t="str">
        <f>IF($M$6="x",IF(P12=0,"",P12),IF(P10=0,"",P10))</f>
        <v>Ek Matti</v>
      </c>
      <c r="K17" s="407"/>
      <c r="L17" s="407"/>
      <c r="M17" s="407"/>
      <c r="N17" s="407"/>
      <c r="O17" s="408"/>
      <c r="P17" s="368">
        <f>IF(L73=0,"",SUM(N73:N79)/SUM(L73:L79))</f>
        <v>19.892857142857142</v>
      </c>
      <c r="Q17" s="17"/>
      <c r="R17" s="372">
        <f t="shared" si="0"/>
        <v>4</v>
      </c>
      <c r="S17" s="330" t="s">
        <v>5</v>
      </c>
      <c r="T17" s="372">
        <f t="shared" si="1"/>
        <v>0</v>
      </c>
      <c r="U17" s="374" t="s">
        <v>6</v>
      </c>
      <c r="V17" s="370">
        <f>IF(E73=501,C73,IF(AM17="l",1,""))</f>
        <v>24</v>
      </c>
      <c r="W17" s="370">
        <f>IF(E74=501,C74,IF(AM17="l",1,""))</f>
        <v>19</v>
      </c>
      <c r="X17" s="370">
        <f>IF(E75=501,C75,IF(AM17="l",1,""))</f>
        <v>21</v>
      </c>
      <c r="Y17" s="370">
        <f>IF(E76=501,C76,IF(AM17="l",1,""))</f>
        <v>23</v>
      </c>
      <c r="Z17" s="370" t="str">
        <f>IF(E77=501,C77,"")</f>
        <v/>
      </c>
      <c r="AA17" s="370" t="str">
        <f>IF(E78=501,C78,"")</f>
        <v/>
      </c>
      <c r="AB17" s="370" t="str">
        <f>IF(E79=501,C79,"")</f>
        <v/>
      </c>
      <c r="AC17" s="44" t="s">
        <v>5</v>
      </c>
      <c r="AD17" s="370" t="str">
        <f>IF(N73=501,L73,IF(AL17="l",1,""))</f>
        <v/>
      </c>
      <c r="AE17" s="370" t="str">
        <f>IF(N74=501,L74,IF(AL17="l",1,""))</f>
        <v/>
      </c>
      <c r="AF17" s="370" t="str">
        <f>IF(N75=501,L75,IF(AL17="l",1,""))</f>
        <v/>
      </c>
      <c r="AG17" s="370" t="str">
        <f>IF(N76=501,L76,IF(AL17="l",1,""))</f>
        <v/>
      </c>
      <c r="AH17" s="370" t="str">
        <f>IF(N77=501,L77,"")</f>
        <v/>
      </c>
      <c r="AI17" s="370" t="str">
        <f>IF(N78=501,L78,"")</f>
        <v/>
      </c>
      <c r="AJ17" s="370" t="str">
        <f>IF(N79=501,L79,"")</f>
        <v/>
      </c>
      <c r="AK17" s="375" t="s">
        <v>7</v>
      </c>
      <c r="AL17" s="351">
        <f>H71</f>
        <v>0</v>
      </c>
      <c r="AM17" s="351">
        <f>I71</f>
        <v>0</v>
      </c>
      <c r="AN17" s="5" t="str">
        <f t="shared" si="2"/>
        <v>Ok</v>
      </c>
      <c r="AO17" s="4" t="str">
        <f>IF(AND(AN17="ok",R17&lt;3),IF(AND(AN17="ok",T17&lt;3),"ei pelitietoja","-"),"-")</f>
        <v>-</v>
      </c>
    </row>
    <row r="18" spans="1:50" ht="30" customHeight="1" x14ac:dyDescent="0.3">
      <c r="A18" s="32" t="s">
        <v>4</v>
      </c>
      <c r="B18" s="33" t="s">
        <v>51</v>
      </c>
      <c r="C18" s="443" t="str">
        <f>IF($C10=0,"",$C10)</f>
        <v>Finnilä Pauli</v>
      </c>
      <c r="D18" s="443"/>
      <c r="E18" s="443"/>
      <c r="F18" s="443"/>
      <c r="G18" s="444"/>
      <c r="H18" s="369">
        <f>IF(C85=0,"",SUM(E85:E91)/SUM(C85:C91))</f>
        <v>26.326315789473686</v>
      </c>
      <c r="I18" s="19" t="s">
        <v>5</v>
      </c>
      <c r="J18" s="407" t="str">
        <f>IF($M$6="x",IF(P10=0,"",P10),IF(P11=0,"",P11))</f>
        <v>Kinnunen Tomi</v>
      </c>
      <c r="K18" s="407"/>
      <c r="L18" s="407"/>
      <c r="M18" s="407"/>
      <c r="N18" s="407"/>
      <c r="O18" s="408"/>
      <c r="P18" s="368">
        <f>IF(L85=0,"",SUM(N85:N91)/SUM(L85:L91))</f>
        <v>21.978494623655912</v>
      </c>
      <c r="Q18" s="17"/>
      <c r="R18" s="372">
        <f t="shared" si="0"/>
        <v>4</v>
      </c>
      <c r="S18" s="330" t="s">
        <v>5</v>
      </c>
      <c r="T18" s="372">
        <f t="shared" si="1"/>
        <v>1</v>
      </c>
      <c r="U18" s="374" t="s">
        <v>6</v>
      </c>
      <c r="V18" s="370" t="str">
        <f>IF(E85=501,C85,IF(AM18="l",1,""))</f>
        <v/>
      </c>
      <c r="W18" s="370">
        <f>IF(E86=501,C86,IF(AM18="l",1,""))</f>
        <v>22</v>
      </c>
      <c r="X18" s="370">
        <f>IF(E87=501,C87,IF(AM18="l",1,""))</f>
        <v>20</v>
      </c>
      <c r="Y18" s="370">
        <f>IF(E88=501,C88,IF(AM18="l",1,""))</f>
        <v>18</v>
      </c>
      <c r="Z18" s="370">
        <f>IF(E89=501,C89,"")</f>
        <v>14</v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>
        <f>IF(N85=501,L85,IF(AL18="l",1,""))</f>
        <v>21</v>
      </c>
      <c r="AE18" s="370" t="str">
        <f>IF(N86=501,L86,IF(AL18="l",1,""))</f>
        <v/>
      </c>
      <c r="AF18" s="370" t="str">
        <f>IF(N87=501,L87,IF(AL18="l",1,""))</f>
        <v/>
      </c>
      <c r="AG18" s="370" t="str">
        <f>IF(N88=501,L88,IF(AL18="l",1,""))</f>
        <v/>
      </c>
      <c r="AH18" s="370" t="str">
        <f>IF(N89=501,L89,"")</f>
        <v/>
      </c>
      <c r="AI18" s="370" t="str">
        <f>IF(N90=501,L90,"")</f>
        <v/>
      </c>
      <c r="AJ18" s="370" t="str">
        <f>IF(N91=501,L91,"")</f>
        <v/>
      </c>
      <c r="AK18" s="375" t="s">
        <v>7</v>
      </c>
      <c r="AL18" s="351">
        <f>H83</f>
        <v>0</v>
      </c>
      <c r="AM18" s="351">
        <f>I83</f>
        <v>0</v>
      </c>
      <c r="AN18" s="5" t="str">
        <f t="shared" si="2"/>
        <v>Ok</v>
      </c>
      <c r="AO18" s="4" t="str">
        <f>IF(AND(AN18="ok",R18&lt;3),IF(AND(AN18="ok",T18&lt;3),"ei pelitietoja","-"),"-")</f>
        <v>-</v>
      </c>
    </row>
    <row r="19" spans="1:50" ht="30" customHeight="1" x14ac:dyDescent="0.3">
      <c r="A19" s="32"/>
      <c r="B19" s="33" t="s">
        <v>46</v>
      </c>
      <c r="C19" s="443" t="str">
        <f>IF(C9=0,"",C9)</f>
        <v>Takkinen Uki</v>
      </c>
      <c r="D19" s="443"/>
      <c r="E19" s="443"/>
      <c r="F19" s="443"/>
      <c r="G19" s="444"/>
      <c r="H19" s="369">
        <f>IF(C97=0,"",SUM(E97:E103)/SUM(C97:C103))</f>
        <v>22.448275862068964</v>
      </c>
      <c r="I19" s="19" t="s">
        <v>5</v>
      </c>
      <c r="J19" s="407" t="str">
        <f>IF($M$6="x",IF(P11=0,"",P11),IF(P12=0,"",P12))</f>
        <v>Selenius Peter</v>
      </c>
      <c r="K19" s="407"/>
      <c r="L19" s="407"/>
      <c r="M19" s="407"/>
      <c r="N19" s="407"/>
      <c r="O19" s="408"/>
      <c r="P19" s="368">
        <f>IF(L97=0,"",SUM(N97:N103)/SUM(L97:L103))</f>
        <v>22.266666666666666</v>
      </c>
      <c r="Q19" s="17"/>
      <c r="R19" s="372">
        <f t="shared" si="0"/>
        <v>0</v>
      </c>
      <c r="S19" s="330" t="s">
        <v>5</v>
      </c>
      <c r="T19" s="372">
        <f t="shared" si="1"/>
        <v>4</v>
      </c>
      <c r="U19" s="374" t="s">
        <v>6</v>
      </c>
      <c r="V19" s="370" t="str">
        <f>IF(E97=501,C97,IF(AM19="l",1,""))</f>
        <v/>
      </c>
      <c r="W19" s="370" t="str">
        <f>IF(E98=501,C98,IF(AM19="l",1,""))</f>
        <v/>
      </c>
      <c r="X19" s="370" t="str">
        <f>IF(E99=501,C99,IF(AM19="l",1,""))</f>
        <v/>
      </c>
      <c r="Y19" s="370" t="str">
        <f>IF(E100=501,C100,IF(AM19="l",1,""))</f>
        <v/>
      </c>
      <c r="Z19" s="370" t="str">
        <f>IF(E101=501,C101,"")</f>
        <v/>
      </c>
      <c r="AA19" s="370" t="str">
        <f>IF(E102=501,C102,"")</f>
        <v/>
      </c>
      <c r="AB19" s="370" t="str">
        <f>IF(E103=501,C103,"")</f>
        <v/>
      </c>
      <c r="AC19" s="44" t="s">
        <v>5</v>
      </c>
      <c r="AD19" s="370">
        <f>IF(N97=501,L97,IF(AL19="l",1,""))</f>
        <v>25</v>
      </c>
      <c r="AE19" s="370">
        <f>IF(N98=501,L98,IF(AL19="l",1,""))</f>
        <v>20</v>
      </c>
      <c r="AF19" s="370">
        <f>IF(N99=501,L99,IF(AL19="l",1,""))</f>
        <v>24</v>
      </c>
      <c r="AG19" s="370">
        <f>IF(N100=501,L100,IF(AL19="l",1,""))</f>
        <v>21</v>
      </c>
      <c r="AH19" s="370" t="str">
        <f>IF(N101=501,L101,"")</f>
        <v/>
      </c>
      <c r="AI19" s="370" t="str">
        <f>IF(N102=501,L102,"")</f>
        <v/>
      </c>
      <c r="AJ19" s="370" t="str">
        <f>IF(N103=501,L103,"")</f>
        <v/>
      </c>
      <c r="AK19" s="375" t="s">
        <v>7</v>
      </c>
      <c r="AL19" s="299">
        <f>H95</f>
        <v>0</v>
      </c>
      <c r="AM19" s="299">
        <f>I95</f>
        <v>0</v>
      </c>
      <c r="AN19" s="5" t="str">
        <f t="shared" si="2"/>
        <v>Ok</v>
      </c>
      <c r="AO19" s="4" t="str">
        <f t="shared" ref="AO19:AO21" si="4">IF(AND(AN19="ok",R19&lt;3),IF(AND(AN19="ok",T19&lt;3),"ei pelitietoja","-"),"-")</f>
        <v>-</v>
      </c>
      <c r="AX19" s="1"/>
    </row>
    <row r="20" spans="1:50" ht="30" customHeight="1" x14ac:dyDescent="0.3">
      <c r="A20" s="32" t="s">
        <v>4</v>
      </c>
      <c r="B20" s="33" t="s">
        <v>47</v>
      </c>
      <c r="C20" s="443" t="str">
        <f>IF(C12=0,"",C12)</f>
        <v>Hyttinen Pasi</v>
      </c>
      <c r="D20" s="443"/>
      <c r="E20" s="443"/>
      <c r="F20" s="443"/>
      <c r="G20" s="444"/>
      <c r="H20" s="369">
        <f>IF(C109=0,"",SUM(E109:E115)/SUM(C109:C115))</f>
        <v>22.632478632478634</v>
      </c>
      <c r="I20" s="19" t="s">
        <v>5</v>
      </c>
      <c r="J20" s="407" t="str">
        <f>IF($M$6="x",IF(P9=0,"",P9),IF(P9=0,"",P9))</f>
        <v>Högström Sami</v>
      </c>
      <c r="K20" s="407"/>
      <c r="L20" s="407"/>
      <c r="M20" s="407"/>
      <c r="N20" s="407"/>
      <c r="O20" s="408"/>
      <c r="P20" s="368">
        <f>IF(L109=0,"",SUM(N109:N115)/SUM(L109:L115))</f>
        <v>24.128205128205128</v>
      </c>
      <c r="Q20" s="17"/>
      <c r="R20" s="372">
        <f t="shared" si="0"/>
        <v>2</v>
      </c>
      <c r="S20" s="330" t="s">
        <v>5</v>
      </c>
      <c r="T20" s="372">
        <f t="shared" si="1"/>
        <v>4</v>
      </c>
      <c r="U20" s="374" t="s">
        <v>6</v>
      </c>
      <c r="V20" s="370" t="str">
        <f>IF(E109=501,C109,IF(AM20="l",1,""))</f>
        <v/>
      </c>
      <c r="W20" s="370" t="str">
        <f>IF(E110=501,C110,IF(AM20="l",1,""))</f>
        <v/>
      </c>
      <c r="X20" s="370">
        <f>IF(E111=501,C111,IF(AM20="l",1,""))</f>
        <v>21</v>
      </c>
      <c r="Y20" s="370" t="str">
        <f>IF(E112=501,C112,IF(AM20="l",1,""))</f>
        <v/>
      </c>
      <c r="Z20" s="370">
        <f>IF(E113=501,C113,"")</f>
        <v>21</v>
      </c>
      <c r="AA20" s="370" t="str">
        <f>IF(E114=501,C114,"")</f>
        <v/>
      </c>
      <c r="AB20" s="370" t="str">
        <f>IF(E115=501,C115,"")</f>
        <v/>
      </c>
      <c r="AC20" s="44" t="s">
        <v>5</v>
      </c>
      <c r="AD20" s="370">
        <f>IF(N109=501,L109,IF(AL20="l",1,""))</f>
        <v>21</v>
      </c>
      <c r="AE20" s="370">
        <f>IF(N110=501,L110,IF(AL20="l",1,""))</f>
        <v>27</v>
      </c>
      <c r="AF20" s="370" t="str">
        <f>IF(N111=501,L111,IF(AL20="l",1,""))</f>
        <v/>
      </c>
      <c r="AG20" s="370">
        <f>IF(N112=501,L112,IF(AL20="l",1,""))</f>
        <v>16</v>
      </c>
      <c r="AH20" s="370" t="str">
        <f>IF(N113=501,L113,"")</f>
        <v/>
      </c>
      <c r="AI20" s="370">
        <f>IF(N114=501,L114,"")</f>
        <v>17</v>
      </c>
      <c r="AJ20" s="370" t="str">
        <f>IF(N115=501,L115,"")</f>
        <v/>
      </c>
      <c r="AK20" s="375" t="s">
        <v>7</v>
      </c>
      <c r="AL20" s="299">
        <f>H107</f>
        <v>0</v>
      </c>
      <c r="AM20" s="299">
        <f>I107</f>
        <v>0</v>
      </c>
      <c r="AN20" s="5" t="str">
        <f t="shared" si="2"/>
        <v>Ok</v>
      </c>
      <c r="AO20" s="4" t="str">
        <f t="shared" si="4"/>
        <v>-</v>
      </c>
      <c r="AX20" s="1"/>
    </row>
    <row r="21" spans="1:50" ht="30" customHeight="1" x14ac:dyDescent="0.3">
      <c r="A21" s="32"/>
      <c r="B21" s="33" t="s">
        <v>52</v>
      </c>
      <c r="C21" s="443" t="str">
        <f>IF(C11=0,"",C11)</f>
        <v>Viinikka Veijo</v>
      </c>
      <c r="D21" s="443"/>
      <c r="E21" s="443"/>
      <c r="F21" s="443"/>
      <c r="G21" s="444"/>
      <c r="H21" s="369">
        <f>IF(C121=0,"",SUM(E121:E127)/SUM(C121:C127))</f>
        <v>26.025974025974026</v>
      </c>
      <c r="I21" s="19" t="s">
        <v>5</v>
      </c>
      <c r="J21" s="409" t="str">
        <f>IF(P10=0,"",P10)</f>
        <v>Ek Matti</v>
      </c>
      <c r="K21" s="409"/>
      <c r="L21" s="409"/>
      <c r="M21" s="409"/>
      <c r="N21" s="409"/>
      <c r="O21" s="419"/>
      <c r="P21" s="368">
        <f>IF(L121=0,"",SUM(N121:N127)/SUM(L121:L127))</f>
        <v>18.32</v>
      </c>
      <c r="Q21" s="17"/>
      <c r="R21" s="373">
        <f t="shared" si="0"/>
        <v>4</v>
      </c>
      <c r="S21" s="330" t="s">
        <v>5</v>
      </c>
      <c r="T21" s="373">
        <f t="shared" si="1"/>
        <v>0</v>
      </c>
      <c r="U21" s="374" t="s">
        <v>6</v>
      </c>
      <c r="V21" s="371">
        <f>IF(E121=501,C121,IF(AM21="l",1,""))</f>
        <v>13</v>
      </c>
      <c r="W21" s="370">
        <f>IF(E122=501,C122,IF(AM21="l",1,""))</f>
        <v>19</v>
      </c>
      <c r="X21" s="370">
        <f>IF(E123=501,C123,IF(AM21="l",1,""))</f>
        <v>27</v>
      </c>
      <c r="Y21" s="370">
        <f>IF(E124=501,C124,IF(AM21="l",1,""))</f>
        <v>18</v>
      </c>
      <c r="Z21" s="370" t="str">
        <f>IF(E125=501,C125,"")</f>
        <v/>
      </c>
      <c r="AA21" s="370" t="str">
        <f>IF(E126=501,C126,"")</f>
        <v/>
      </c>
      <c r="AB21" s="370" t="str">
        <f>IF(E127=501,C127,"")</f>
        <v/>
      </c>
      <c r="AC21" s="44" t="s">
        <v>5</v>
      </c>
      <c r="AD21" s="370" t="str">
        <f>IF(N121=501,L121,IF(AL21="l",1,""))</f>
        <v/>
      </c>
      <c r="AE21" s="370" t="str">
        <f>IF(N122=501,L122,IF(AL21="l",1,""))</f>
        <v/>
      </c>
      <c r="AF21" s="370" t="str">
        <f>IF(N123=501,L123,IF(AL21="l",1,""))</f>
        <v/>
      </c>
      <c r="AG21" s="370" t="str">
        <f>IF(N124=501,L124,IF(AL21="l",1,""))</f>
        <v/>
      </c>
      <c r="AH21" s="370" t="str">
        <f>IF(N125=501,L125,"")</f>
        <v/>
      </c>
      <c r="AI21" s="370" t="str">
        <f>IF(N126=501,L126,"")</f>
        <v/>
      </c>
      <c r="AJ21" s="370" t="str">
        <f>IF(N127=501,L127,"")</f>
        <v/>
      </c>
      <c r="AK21" s="375" t="s">
        <v>7</v>
      </c>
      <c r="AL21" s="351">
        <f>H119</f>
        <v>0</v>
      </c>
      <c r="AM21" s="351">
        <f>I119</f>
        <v>0</v>
      </c>
      <c r="AN21" s="5" t="str">
        <f t="shared" si="2"/>
        <v>Ok</v>
      </c>
      <c r="AO21" s="4" t="str">
        <f t="shared" si="4"/>
        <v>-</v>
      </c>
    </row>
    <row r="22" spans="1:50" ht="30" customHeight="1" x14ac:dyDescent="0.25">
      <c r="A22" s="1"/>
      <c r="B22" s="38" t="s">
        <v>9</v>
      </c>
      <c r="F22" s="1"/>
      <c r="I22" s="24"/>
      <c r="J22" s="1"/>
      <c r="K22" s="1"/>
      <c r="L22" s="1"/>
      <c r="M22" s="1"/>
      <c r="O22" s="1"/>
      <c r="R22" s="345">
        <f>SUMIF(R14:R21,"&gt;0",R14:R21)</f>
        <v>23</v>
      </c>
      <c r="S22" s="279"/>
      <c r="T22" s="345">
        <f>SUMIF(T14:T21,"&gt;0",T14:T21)</f>
        <v>15</v>
      </c>
      <c r="U22" s="279"/>
      <c r="V22" s="365">
        <f>IF(R22=0,0,COUNTIF(R14:R21,"4"))</f>
        <v>5</v>
      </c>
      <c r="W22" s="266"/>
      <c r="X22" s="366">
        <f>IF(T22=0,0,COUNTIF(T14:T21,"4"))</f>
        <v>3</v>
      </c>
      <c r="Y22" s="266"/>
      <c r="Z22" s="266"/>
      <c r="AL22" s="266"/>
      <c r="AM22" s="266"/>
      <c r="AN22" s="266"/>
      <c r="AO22" s="266"/>
    </row>
    <row r="23" spans="1:50" ht="27" customHeight="1" x14ac:dyDescent="0.4">
      <c r="B23" s="448" t="str">
        <f>CONCATENATE(B6,"-",O6,"     ",V22," - ",X22)</f>
        <v>Keski-Suomi Darts 1-Grönan DC 1     5 - 3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191"/>
      <c r="S23" s="328"/>
      <c r="U23" s="329"/>
      <c r="V23" s="367"/>
      <c r="W23" s="176"/>
      <c r="X23" s="176"/>
      <c r="Y23" s="176"/>
      <c r="Z23" s="176"/>
      <c r="AA23" s="176"/>
      <c r="AB23" s="176"/>
      <c r="AC23" s="192"/>
      <c r="AD23" s="181"/>
      <c r="AE23" s="181"/>
      <c r="AF23" s="181"/>
      <c r="AG23" s="181"/>
      <c r="AH23" s="35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0" ht="27" customHeight="1" x14ac:dyDescent="0.25">
      <c r="B24" s="154" t="s">
        <v>61</v>
      </c>
      <c r="C24" s="37"/>
      <c r="D24" s="37"/>
      <c r="E24" s="37"/>
      <c r="F24" s="44"/>
      <c r="G24" s="37"/>
      <c r="H24" s="338"/>
      <c r="I24" s="19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2"/>
      <c r="AI24" s="176"/>
      <c r="AJ24" s="176"/>
      <c r="AK24" s="176"/>
    </row>
    <row r="25" spans="1:50" ht="19.899999999999999" customHeight="1" x14ac:dyDescent="0.25">
      <c r="B25" s="378" t="s">
        <v>69</v>
      </c>
      <c r="C25" s="67"/>
      <c r="D25" s="67"/>
      <c r="E25" s="67"/>
      <c r="F25" s="103"/>
      <c r="G25" s="379" t="s">
        <v>66</v>
      </c>
      <c r="H25" s="338"/>
      <c r="I25" s="220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2"/>
      <c r="AI25" s="176"/>
      <c r="AJ25" s="176"/>
      <c r="AK25" s="176"/>
    </row>
    <row r="26" spans="1:50" ht="30" customHeight="1" x14ac:dyDescent="0.25">
      <c r="A26" s="67"/>
      <c r="B26" s="415" t="str">
        <f>C9</f>
        <v>Takkinen Uki</v>
      </c>
      <c r="C26" s="412"/>
      <c r="D26" s="412"/>
      <c r="E26" s="412"/>
      <c r="F26" s="413"/>
      <c r="G26" s="414"/>
      <c r="H26" s="414"/>
      <c r="I26" s="414"/>
      <c r="J26" s="414"/>
      <c r="K26" s="414"/>
      <c r="L26" s="414"/>
      <c r="M26" s="414"/>
      <c r="N26" s="414"/>
      <c r="O26" s="415" t="str">
        <f>P9</f>
        <v>Högström Sami</v>
      </c>
      <c r="P26" s="412"/>
      <c r="Q26" s="412"/>
      <c r="R26" s="412"/>
      <c r="S26" s="412"/>
      <c r="T26" s="412"/>
      <c r="U26" s="412"/>
      <c r="V26" s="413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182"/>
      <c r="AJ26" s="182"/>
      <c r="AK26" s="182"/>
    </row>
    <row r="27" spans="1:50" s="2" customFormat="1" ht="30" customHeight="1" x14ac:dyDescent="0.25">
      <c r="B27" s="415" t="str">
        <f>C10</f>
        <v>Finnilä Pauli</v>
      </c>
      <c r="C27" s="412"/>
      <c r="D27" s="412"/>
      <c r="E27" s="412"/>
      <c r="F27" s="413"/>
      <c r="G27" s="414"/>
      <c r="H27" s="414"/>
      <c r="I27" s="414"/>
      <c r="J27" s="414"/>
      <c r="K27" s="414"/>
      <c r="L27" s="414"/>
      <c r="M27" s="414"/>
      <c r="N27" s="414"/>
      <c r="O27" s="415" t="str">
        <f>P10</f>
        <v>Ek Matti</v>
      </c>
      <c r="P27" s="412"/>
      <c r="Q27" s="412"/>
      <c r="R27" s="412"/>
      <c r="S27" s="412"/>
      <c r="T27" s="412"/>
      <c r="U27" s="412"/>
      <c r="V27" s="413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176"/>
      <c r="AT27" s="176"/>
      <c r="AU27" s="176"/>
      <c r="AV27" s="176"/>
      <c r="AW27" s="176"/>
      <c r="AX27" s="176"/>
    </row>
    <row r="28" spans="1:50" s="2" customFormat="1" ht="30" customHeight="1" x14ac:dyDescent="0.25">
      <c r="B28" s="415" t="str">
        <f>C11</f>
        <v>Viinikka Veijo</v>
      </c>
      <c r="C28" s="412"/>
      <c r="D28" s="412"/>
      <c r="E28" s="412"/>
      <c r="F28" s="413"/>
      <c r="G28" s="414"/>
      <c r="H28" s="414"/>
      <c r="I28" s="414"/>
      <c r="J28" s="414"/>
      <c r="K28" s="414"/>
      <c r="L28" s="414"/>
      <c r="M28" s="414"/>
      <c r="N28" s="414"/>
      <c r="O28" s="415" t="str">
        <f>P11</f>
        <v>Kinnunen Tomi</v>
      </c>
      <c r="P28" s="412"/>
      <c r="Q28" s="412"/>
      <c r="R28" s="412"/>
      <c r="S28" s="412"/>
      <c r="T28" s="412"/>
      <c r="U28" s="412"/>
      <c r="V28" s="413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176"/>
      <c r="AT28" s="176"/>
      <c r="AU28" s="176"/>
      <c r="AV28" s="176"/>
      <c r="AW28" s="176"/>
      <c r="AX28" s="176"/>
    </row>
    <row r="29" spans="1:50" ht="30" customHeight="1" x14ac:dyDescent="0.25">
      <c r="A29" s="106"/>
      <c r="B29" s="415" t="str">
        <f>C12</f>
        <v>Hyttinen Pasi</v>
      </c>
      <c r="C29" s="412"/>
      <c r="D29" s="412"/>
      <c r="E29" s="412"/>
      <c r="F29" s="413"/>
      <c r="G29" s="414">
        <v>120</v>
      </c>
      <c r="H29" s="414"/>
      <c r="I29" s="414"/>
      <c r="J29" s="414"/>
      <c r="K29" s="414"/>
      <c r="L29" s="414"/>
      <c r="M29" s="414"/>
      <c r="N29" s="414"/>
      <c r="O29" s="415" t="str">
        <f>P12</f>
        <v>Selenius Peter</v>
      </c>
      <c r="P29" s="412"/>
      <c r="Q29" s="412"/>
      <c r="R29" s="412"/>
      <c r="S29" s="412"/>
      <c r="T29" s="412"/>
      <c r="U29" s="412"/>
      <c r="V29" s="413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182"/>
      <c r="AJ29" s="182"/>
      <c r="AK29" s="182"/>
      <c r="AL29" s="302"/>
      <c r="AM29" s="302"/>
      <c r="AN29" s="302"/>
      <c r="AO29" s="302"/>
    </row>
    <row r="30" spans="1:50" ht="18" customHeight="1" x14ac:dyDescent="0.25">
      <c r="B30" s="2"/>
      <c r="C30" s="2"/>
      <c r="D30" s="2"/>
      <c r="E30" s="2"/>
      <c r="F30" s="242"/>
      <c r="G30" s="2"/>
      <c r="H30" s="5"/>
      <c r="I30" s="192"/>
      <c r="J30" s="98"/>
      <c r="K30" s="37"/>
      <c r="L30" s="37"/>
      <c r="M30" s="37"/>
      <c r="O30" s="107"/>
      <c r="P30" s="9"/>
      <c r="Q30" s="108"/>
      <c r="R30" s="334"/>
      <c r="S30" s="334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9"/>
      <c r="AI30" s="183"/>
      <c r="AJ30" s="183"/>
      <c r="AK30" s="183"/>
    </row>
    <row r="31" spans="1:50" s="4" customFormat="1" hidden="1" x14ac:dyDescent="0.2">
      <c r="A31" s="5"/>
      <c r="C31" s="112"/>
      <c r="D31" s="112"/>
      <c r="F31" s="109"/>
      <c r="I31" s="234"/>
      <c r="J31" s="111"/>
      <c r="K31" s="110"/>
      <c r="L31" s="168"/>
      <c r="M31" s="168"/>
      <c r="O31" s="170"/>
      <c r="P31" s="112"/>
      <c r="Q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12"/>
      <c r="AI31" s="133"/>
      <c r="AJ31" s="133"/>
      <c r="AK31" s="133"/>
      <c r="AS31" s="133"/>
      <c r="AT31" s="133"/>
      <c r="AU31" s="133"/>
      <c r="AV31" s="133"/>
      <c r="AW31" s="133"/>
      <c r="AX31" s="133"/>
    </row>
    <row r="32" spans="1:50" s="4" customFormat="1" ht="50.25" customHeight="1" x14ac:dyDescent="0.25">
      <c r="A32" s="5"/>
      <c r="B32" s="453" t="s">
        <v>78</v>
      </c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12"/>
      <c r="AI32" s="133"/>
      <c r="AJ32" s="133"/>
      <c r="AK32" s="133"/>
      <c r="AS32" s="133"/>
      <c r="AT32" s="133"/>
      <c r="AU32" s="133"/>
      <c r="AV32" s="133"/>
      <c r="AW32" s="133"/>
      <c r="AX32" s="133"/>
    </row>
    <row r="33" spans="1:50" s="4" customFormat="1" ht="9" customHeight="1" thickBot="1" x14ac:dyDescent="0.25">
      <c r="A33" s="5"/>
      <c r="C33" s="112"/>
      <c r="D33" s="112"/>
      <c r="F33" s="109"/>
      <c r="H33" s="5"/>
      <c r="I33" s="234"/>
      <c r="J33" s="111"/>
      <c r="K33" s="110"/>
      <c r="L33" s="168"/>
      <c r="M33" s="168"/>
      <c r="O33" s="170"/>
      <c r="P33" s="112"/>
      <c r="Q33" s="133"/>
      <c r="T33" s="118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12"/>
      <c r="AI33" s="133"/>
      <c r="AJ33" s="133"/>
      <c r="AK33" s="133"/>
      <c r="AS33" s="133"/>
      <c r="AT33" s="133"/>
      <c r="AU33" s="133"/>
      <c r="AV33" s="133"/>
      <c r="AW33" s="133"/>
      <c r="AX33" s="133"/>
    </row>
    <row r="34" spans="1:50" s="112" customFormat="1" ht="27.75" customHeight="1" x14ac:dyDescent="0.25">
      <c r="A34" s="113"/>
      <c r="B34" s="114" t="s">
        <v>0</v>
      </c>
      <c r="C34" s="420" t="str">
        <f>C14</f>
        <v>Takkinen Uki</v>
      </c>
      <c r="D34" s="420"/>
      <c r="E34" s="420"/>
      <c r="F34" s="420"/>
      <c r="G34" s="420"/>
      <c r="H34" s="320">
        <f>IF(OR(H35="L",C34=0),0,1)</f>
        <v>1</v>
      </c>
      <c r="I34" s="235"/>
      <c r="J34" s="116"/>
      <c r="K34" s="117" t="s">
        <v>0</v>
      </c>
      <c r="L34" s="420" t="str">
        <f>J14</f>
        <v>Kinnunen Tomi</v>
      </c>
      <c r="M34" s="420"/>
      <c r="N34" s="420"/>
      <c r="O34" s="420"/>
      <c r="P34" s="420"/>
      <c r="Q34" s="420"/>
      <c r="R34" s="420"/>
      <c r="S34" s="310">
        <f>IF(OR(I35="L",L34=0),0,1)</f>
        <v>1</v>
      </c>
      <c r="T34" s="118"/>
      <c r="U34" s="118"/>
      <c r="V34" s="118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133"/>
      <c r="AT34" s="133"/>
      <c r="AU34" s="133"/>
      <c r="AV34" s="133"/>
      <c r="AW34" s="133"/>
      <c r="AX34" s="133"/>
    </row>
    <row r="35" spans="1:50" s="112" customFormat="1" ht="10.5" customHeight="1" x14ac:dyDescent="0.2">
      <c r="B35" s="118"/>
      <c r="C35" s="21"/>
      <c r="D35" s="21"/>
      <c r="E35" s="118"/>
      <c r="F35" s="146"/>
      <c r="G35" s="21"/>
      <c r="H35" s="342"/>
      <c r="I35" s="391"/>
      <c r="J35" s="454"/>
      <c r="K35" s="131"/>
      <c r="L35" s="131"/>
      <c r="M35" s="131"/>
      <c r="N35" s="21"/>
      <c r="O35" s="146"/>
      <c r="P35" s="21"/>
      <c r="Q35" s="21"/>
      <c r="R35" s="21"/>
      <c r="S35" s="343"/>
      <c r="T35" s="21"/>
      <c r="U35" s="21"/>
      <c r="V35" s="21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133"/>
      <c r="AT35" s="133"/>
      <c r="AU35" s="133"/>
      <c r="AV35" s="133"/>
      <c r="AW35" s="133"/>
      <c r="AX35" s="133"/>
    </row>
    <row r="36" spans="1:50" s="112" customFormat="1" ht="23.25" customHeight="1" x14ac:dyDescent="0.2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3"/>
      <c r="I36" s="236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18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133"/>
      <c r="AT36" s="133"/>
      <c r="AU36" s="133"/>
      <c r="AV36" s="133"/>
      <c r="AW36" s="133"/>
      <c r="AX36" s="133"/>
    </row>
    <row r="37" spans="1:50" s="112" customFormat="1" ht="31.5" customHeight="1" x14ac:dyDescent="0.2">
      <c r="A37" s="121"/>
      <c r="B37" s="128">
        <v>1</v>
      </c>
      <c r="C37" s="6">
        <v>20</v>
      </c>
      <c r="D37" s="7"/>
      <c r="E37" s="303">
        <f t="shared" ref="E37:E43" si="5">IF(C37=0," ",IF(C37=0,0,501-D37))</f>
        <v>501</v>
      </c>
      <c r="F37" s="6">
        <v>3</v>
      </c>
      <c r="G37" s="6"/>
      <c r="H37" s="303">
        <f>IF(AND(H34=1,S34=0),1,IF(COUNT(C37:C43)&gt;3,IF(COUNT(D37:D43)=4,0,1),0))</f>
        <v>1</v>
      </c>
      <c r="I37" s="237"/>
      <c r="J37" s="131"/>
      <c r="K37" s="128">
        <v>1</v>
      </c>
      <c r="L37" s="6">
        <v>18</v>
      </c>
      <c r="M37" s="7">
        <v>40</v>
      </c>
      <c r="N37" s="303">
        <f t="shared" ref="N37:N43" si="6">IF(L37=0," ",IF(L37=0,0,501-M37))</f>
        <v>461</v>
      </c>
      <c r="O37" s="6">
        <v>3</v>
      </c>
      <c r="P37" s="162"/>
      <c r="Q37" s="218"/>
      <c r="R37" s="303">
        <f>IF(AND(S34=1,H34=0),1,IF(COUNT(L37:L43)&gt;3,IF(COUNT(M37:M43)=4,0,1),0))</f>
        <v>0</v>
      </c>
      <c r="S37" s="311"/>
      <c r="T37" s="118"/>
      <c r="V37" s="357" t="str">
        <f>IF(AND(E37=501,N37=501),"TARKISTA JÄI-SARAKE"," ")</f>
        <v xml:space="preserve"> </v>
      </c>
      <c r="W37" s="133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133"/>
      <c r="AT37" s="133"/>
      <c r="AU37" s="133"/>
      <c r="AV37" s="133"/>
      <c r="AW37" s="133"/>
      <c r="AX37" s="133"/>
    </row>
    <row r="38" spans="1:50" s="112" customFormat="1" ht="31.5" customHeight="1" x14ac:dyDescent="0.25">
      <c r="A38" s="399" t="s">
        <v>14</v>
      </c>
      <c r="B38" s="128">
        <v>2</v>
      </c>
      <c r="C38" s="6">
        <v>22</v>
      </c>
      <c r="D38" s="7"/>
      <c r="E38" s="303">
        <f t="shared" si="5"/>
        <v>501</v>
      </c>
      <c r="F38" s="6">
        <v>2</v>
      </c>
      <c r="G38" s="6"/>
      <c r="H38" s="303"/>
      <c r="I38" s="237"/>
      <c r="J38" s="131"/>
      <c r="K38" s="128">
        <v>2</v>
      </c>
      <c r="L38" s="6">
        <v>24</v>
      </c>
      <c r="M38" s="272">
        <v>32</v>
      </c>
      <c r="N38" s="303">
        <f t="shared" si="6"/>
        <v>469</v>
      </c>
      <c r="O38" s="6">
        <v>1</v>
      </c>
      <c r="P38" s="162"/>
      <c r="Q38" s="218"/>
      <c r="R38" s="303"/>
      <c r="S38" s="311"/>
      <c r="T38" s="118"/>
      <c r="U38" s="118"/>
      <c r="V38" s="357" t="str">
        <f t="shared" ref="V38:V43" si="7">IF(AND(E38=501,N38=501),"TARKISTA JÄI-SARAKE"," ")</f>
        <v xml:space="preserve"> </v>
      </c>
      <c r="W38" s="193"/>
      <c r="X38" s="175"/>
      <c r="Y38" s="133"/>
      <c r="Z38" s="133"/>
      <c r="AA38" s="133"/>
      <c r="AB38" s="133"/>
      <c r="AC38" s="133"/>
      <c r="AD38" s="134" t="str">
        <f t="shared" ref="AD38:AD43" si="8">IF(AND(C38=0,L38&gt;0),"toinen TIKAT-sarake tyhjä !",IF(AND(C38&gt;0,L38=0),"toinen TIKAT-sarake tyhjä !",""))</f>
        <v/>
      </c>
      <c r="AE38" s="133"/>
      <c r="AF38" s="133"/>
      <c r="AG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133"/>
      <c r="AT38" s="133"/>
      <c r="AU38" s="133"/>
      <c r="AV38" s="133"/>
      <c r="AW38" s="133"/>
      <c r="AX38" s="133"/>
    </row>
    <row r="39" spans="1:50" s="112" customFormat="1" ht="31.5" customHeight="1" x14ac:dyDescent="0.25">
      <c r="A39" s="400"/>
      <c r="B39" s="128">
        <v>3</v>
      </c>
      <c r="C39" s="6">
        <v>22</v>
      </c>
      <c r="D39" s="7"/>
      <c r="E39" s="303">
        <f t="shared" si="5"/>
        <v>501</v>
      </c>
      <c r="F39" s="6">
        <v>1</v>
      </c>
      <c r="G39" s="6"/>
      <c r="H39" s="303"/>
      <c r="I39" s="237"/>
      <c r="J39" s="131"/>
      <c r="K39" s="128">
        <v>3</v>
      </c>
      <c r="L39" s="6">
        <v>21</v>
      </c>
      <c r="M39" s="272">
        <v>80</v>
      </c>
      <c r="N39" s="303">
        <f t="shared" si="6"/>
        <v>421</v>
      </c>
      <c r="O39" s="6">
        <v>1</v>
      </c>
      <c r="P39" s="162"/>
      <c r="Q39" s="218"/>
      <c r="R39" s="303"/>
      <c r="S39" s="311"/>
      <c r="T39" s="118"/>
      <c r="U39" s="118"/>
      <c r="V39" s="357" t="str">
        <f t="shared" si="7"/>
        <v xml:space="preserve"> </v>
      </c>
      <c r="W39" s="193"/>
      <c r="X39" s="175"/>
      <c r="Y39" s="133"/>
      <c r="Z39" s="133"/>
      <c r="AA39" s="133"/>
      <c r="AB39" s="133"/>
      <c r="AC39" s="133"/>
      <c r="AD39" s="134" t="str">
        <f t="shared" si="8"/>
        <v/>
      </c>
      <c r="AE39" s="133"/>
      <c r="AF39" s="133"/>
      <c r="AG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133"/>
      <c r="AT39" s="133"/>
      <c r="AU39" s="133"/>
      <c r="AV39" s="133"/>
      <c r="AW39" s="133"/>
      <c r="AX39" s="133"/>
    </row>
    <row r="40" spans="1:50" s="112" customFormat="1" ht="31.5" customHeight="1" x14ac:dyDescent="0.25">
      <c r="A40" s="400"/>
      <c r="B40" s="128">
        <v>4</v>
      </c>
      <c r="C40" s="6">
        <v>21</v>
      </c>
      <c r="D40" s="7"/>
      <c r="E40" s="303">
        <f t="shared" si="5"/>
        <v>501</v>
      </c>
      <c r="F40" s="6">
        <v>2</v>
      </c>
      <c r="G40" s="6"/>
      <c r="H40" s="303"/>
      <c r="I40" s="237"/>
      <c r="J40" s="131"/>
      <c r="K40" s="128">
        <v>4</v>
      </c>
      <c r="L40" s="6">
        <v>21</v>
      </c>
      <c r="M40" s="272">
        <v>100</v>
      </c>
      <c r="N40" s="303">
        <f t="shared" si="6"/>
        <v>401</v>
      </c>
      <c r="O40" s="6">
        <v>1</v>
      </c>
      <c r="P40" s="162"/>
      <c r="Q40" s="218"/>
      <c r="R40" s="303"/>
      <c r="S40" s="311"/>
      <c r="T40" s="118"/>
      <c r="U40" s="118"/>
      <c r="V40" s="357" t="str">
        <f t="shared" si="7"/>
        <v xml:space="preserve"> </v>
      </c>
      <c r="W40" s="193"/>
      <c r="X40" s="175"/>
      <c r="Y40" s="133"/>
      <c r="Z40" s="133"/>
      <c r="AA40" s="133"/>
      <c r="AB40" s="133"/>
      <c r="AC40" s="133"/>
      <c r="AD40" s="134" t="str">
        <f t="shared" si="8"/>
        <v/>
      </c>
      <c r="AE40" s="133"/>
      <c r="AF40" s="133"/>
      <c r="AG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133"/>
      <c r="AT40" s="133"/>
      <c r="AU40" s="133"/>
      <c r="AV40" s="133"/>
      <c r="AW40" s="133"/>
      <c r="AX40" s="133"/>
    </row>
    <row r="41" spans="1:50" s="112" customFormat="1" ht="31.5" customHeight="1" x14ac:dyDescent="0.25">
      <c r="A41" s="121"/>
      <c r="B41" s="128">
        <v>5</v>
      </c>
      <c r="C41" s="6"/>
      <c r="D41" s="7"/>
      <c r="E41" s="303" t="str">
        <f t="shared" si="5"/>
        <v xml:space="preserve"> </v>
      </c>
      <c r="F41" s="6"/>
      <c r="G41" s="6"/>
      <c r="H41" s="303"/>
      <c r="I41" s="237"/>
      <c r="J41" s="131"/>
      <c r="K41" s="128">
        <v>5</v>
      </c>
      <c r="L41" s="6"/>
      <c r="M41" s="272"/>
      <c r="N41" s="303" t="str">
        <f t="shared" si="6"/>
        <v xml:space="preserve"> </v>
      </c>
      <c r="O41" s="6"/>
      <c r="P41" s="162"/>
      <c r="Q41" s="218"/>
      <c r="R41" s="303"/>
      <c r="S41" s="311"/>
      <c r="T41" s="118"/>
      <c r="U41" s="118"/>
      <c r="V41" s="357" t="str">
        <f t="shared" si="7"/>
        <v xml:space="preserve"> </v>
      </c>
      <c r="W41" s="193"/>
      <c r="X41" s="175"/>
      <c r="Y41" s="133"/>
      <c r="Z41" s="133"/>
      <c r="AA41" s="133"/>
      <c r="AB41" s="133"/>
      <c r="AC41" s="133"/>
      <c r="AD41" s="134" t="str">
        <f t="shared" si="8"/>
        <v/>
      </c>
      <c r="AE41" s="133"/>
      <c r="AF41" s="133"/>
      <c r="AG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133"/>
      <c r="AT41" s="133"/>
      <c r="AU41" s="133"/>
      <c r="AV41" s="133"/>
      <c r="AW41" s="133"/>
      <c r="AX41" s="133"/>
    </row>
    <row r="42" spans="1:50" s="112" customFormat="1" ht="31.5" customHeight="1" x14ac:dyDescent="0.25">
      <c r="A42" s="21"/>
      <c r="B42" s="128">
        <v>6</v>
      </c>
      <c r="C42" s="6"/>
      <c r="D42" s="7"/>
      <c r="E42" s="303" t="str">
        <f t="shared" si="5"/>
        <v xml:space="preserve"> </v>
      </c>
      <c r="F42" s="6"/>
      <c r="G42" s="6"/>
      <c r="H42" s="303"/>
      <c r="I42" s="237"/>
      <c r="J42" s="131"/>
      <c r="K42" s="128">
        <v>6</v>
      </c>
      <c r="L42" s="6"/>
      <c r="M42" s="272"/>
      <c r="N42" s="303" t="str">
        <f t="shared" si="6"/>
        <v xml:space="preserve"> </v>
      </c>
      <c r="O42" s="6"/>
      <c r="P42" s="162"/>
      <c r="Q42" s="218"/>
      <c r="R42" s="303"/>
      <c r="S42" s="311"/>
      <c r="T42" s="118"/>
      <c r="U42" s="118"/>
      <c r="V42" s="357" t="str">
        <f t="shared" si="7"/>
        <v xml:space="preserve"> </v>
      </c>
      <c r="W42" s="193"/>
      <c r="X42" s="175"/>
      <c r="Y42" s="133"/>
      <c r="Z42" s="133"/>
      <c r="AA42" s="133"/>
      <c r="AB42" s="133"/>
      <c r="AC42" s="133"/>
      <c r="AD42" s="134" t="str">
        <f t="shared" si="8"/>
        <v/>
      </c>
      <c r="AE42" s="133"/>
      <c r="AF42" s="133"/>
      <c r="AG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133"/>
      <c r="AT42" s="133"/>
      <c r="AU42" s="133"/>
      <c r="AV42" s="133"/>
      <c r="AW42" s="133"/>
      <c r="AX42" s="133"/>
    </row>
    <row r="43" spans="1:50" s="112" customFormat="1" ht="31.5" customHeight="1" x14ac:dyDescent="0.25">
      <c r="A43" s="21"/>
      <c r="B43" s="128">
        <v>7</v>
      </c>
      <c r="C43" s="6"/>
      <c r="D43" s="7"/>
      <c r="E43" s="303" t="str">
        <f t="shared" si="5"/>
        <v xml:space="preserve"> </v>
      </c>
      <c r="F43" s="6"/>
      <c r="G43" s="6"/>
      <c r="H43" s="303"/>
      <c r="I43" s="237"/>
      <c r="J43" s="131"/>
      <c r="K43" s="128">
        <v>7</v>
      </c>
      <c r="L43" s="6"/>
      <c r="M43" s="272"/>
      <c r="N43" s="303" t="str">
        <f t="shared" si="6"/>
        <v xml:space="preserve"> </v>
      </c>
      <c r="O43" s="6"/>
      <c r="P43" s="161"/>
      <c r="Q43" s="218"/>
      <c r="R43" s="303"/>
      <c r="S43" s="311"/>
      <c r="T43" s="118"/>
      <c r="U43" s="118"/>
      <c r="V43" s="357" t="str">
        <f t="shared" si="7"/>
        <v xml:space="preserve"> </v>
      </c>
      <c r="W43" s="193"/>
      <c r="X43" s="175"/>
      <c r="Y43" s="133"/>
      <c r="Z43" s="133"/>
      <c r="AA43" s="133"/>
      <c r="AB43" s="133"/>
      <c r="AC43" s="133"/>
      <c r="AD43" s="134" t="str">
        <f t="shared" si="8"/>
        <v/>
      </c>
      <c r="AE43" s="133"/>
      <c r="AF43" s="133"/>
      <c r="AG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133"/>
      <c r="AT43" s="133"/>
      <c r="AU43" s="133"/>
      <c r="AV43" s="133"/>
      <c r="AW43" s="133"/>
      <c r="AX43" s="133"/>
    </row>
    <row r="44" spans="1:50" s="112" customFormat="1" ht="16.5" customHeight="1" thickBot="1" x14ac:dyDescent="0.25">
      <c r="A44" s="137" t="s">
        <v>14</v>
      </c>
      <c r="B44" s="135"/>
      <c r="C44" s="136">
        <f>COUNTIF(C37:C43,"&gt;0")</f>
        <v>4</v>
      </c>
      <c r="D44" s="136">
        <f>COUNTIF(D37:D43,"&gt;0")</f>
        <v>0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4</v>
      </c>
      <c r="M44" s="136">
        <f>COUNTIF(M37:M43,"&gt;0")</f>
        <v>4</v>
      </c>
      <c r="N44" s="137"/>
      <c r="O44" s="141"/>
      <c r="P44" s="135"/>
      <c r="Q44" s="216"/>
      <c r="R44" s="137"/>
      <c r="S44" s="312"/>
      <c r="T44" s="118"/>
      <c r="U44" s="118"/>
      <c r="V44" s="118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I44" s="133"/>
      <c r="AJ44" s="133"/>
      <c r="AK44" s="133"/>
      <c r="AL44" s="4"/>
      <c r="AM44" s="4"/>
      <c r="AN44" s="4"/>
      <c r="AO44" s="4"/>
      <c r="AP44" s="4"/>
      <c r="AQ44" s="4"/>
      <c r="AR44" s="4"/>
      <c r="AS44" s="133"/>
      <c r="AT44" s="133"/>
      <c r="AU44" s="133"/>
      <c r="AV44" s="133"/>
      <c r="AW44" s="133"/>
      <c r="AX44" s="133"/>
    </row>
    <row r="45" spans="1:50" s="4" customFormat="1" ht="25.5" customHeight="1" thickBot="1" x14ac:dyDescent="0.25">
      <c r="A45" s="5"/>
      <c r="C45" s="112"/>
      <c r="D45" s="112"/>
      <c r="F45" s="109"/>
      <c r="I45" s="234"/>
      <c r="J45" s="111"/>
      <c r="K45" s="110"/>
      <c r="L45" s="168"/>
      <c r="M45" s="168"/>
      <c r="O45" s="170"/>
      <c r="P45" s="112"/>
      <c r="Q45" s="133"/>
      <c r="T45" s="118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12"/>
      <c r="AI45" s="133"/>
      <c r="AJ45" s="133"/>
      <c r="AK45" s="133"/>
      <c r="AS45" s="133"/>
      <c r="AT45" s="133"/>
      <c r="AU45" s="133"/>
      <c r="AV45" s="133"/>
      <c r="AW45" s="133"/>
      <c r="AX45" s="133"/>
    </row>
    <row r="46" spans="1:50" s="112" customFormat="1" ht="27.75" customHeight="1" x14ac:dyDescent="0.25">
      <c r="A46" s="113"/>
      <c r="B46" s="114" t="s">
        <v>0</v>
      </c>
      <c r="C46" s="420" t="str">
        <f>C15</f>
        <v>Finnilä Pauli</v>
      </c>
      <c r="D46" s="420"/>
      <c r="E46" s="420"/>
      <c r="F46" s="420"/>
      <c r="G46" s="420"/>
      <c r="H46" s="322">
        <f>IF(OR(H47="L",C46=0),0,1)</f>
        <v>1</v>
      </c>
      <c r="I46" s="238"/>
      <c r="J46" s="145"/>
      <c r="K46" s="117" t="s">
        <v>0</v>
      </c>
      <c r="L46" s="420" t="str">
        <f>J15</f>
        <v>Selenius Peter</v>
      </c>
      <c r="M46" s="420"/>
      <c r="N46" s="420"/>
      <c r="O46" s="420"/>
      <c r="P46" s="420"/>
      <c r="Q46" s="420"/>
      <c r="R46" s="420"/>
      <c r="S46" s="310">
        <f>IF(OR(I47="L",L46=0),0,1)</f>
        <v>1</v>
      </c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133"/>
      <c r="AT46" s="133"/>
      <c r="AU46" s="133"/>
      <c r="AV46" s="133"/>
      <c r="AW46" s="133"/>
      <c r="AX46" s="133"/>
    </row>
    <row r="47" spans="1:50" s="112" customFormat="1" ht="9" customHeight="1" x14ac:dyDescent="0.2">
      <c r="A47" s="121"/>
      <c r="B47" s="21"/>
      <c r="C47" s="21"/>
      <c r="D47" s="21"/>
      <c r="E47" s="21"/>
      <c r="F47" s="146"/>
      <c r="G47" s="21"/>
      <c r="H47" s="321"/>
      <c r="I47" s="391"/>
      <c r="J47" s="392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133"/>
      <c r="AT47" s="133"/>
      <c r="AU47" s="133"/>
      <c r="AV47" s="133"/>
      <c r="AW47" s="133"/>
      <c r="AX47" s="133"/>
    </row>
    <row r="48" spans="1:50" s="112" customFormat="1" ht="23.25" customHeight="1" x14ac:dyDescent="0.2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236"/>
      <c r="J48" s="147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21"/>
      <c r="R48" s="124"/>
      <c r="S48" s="311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I48" s="133"/>
      <c r="AJ48" s="133"/>
      <c r="AK48" s="133"/>
      <c r="AL48" s="4"/>
      <c r="AM48" s="4"/>
      <c r="AN48" s="4"/>
      <c r="AO48" s="4"/>
      <c r="AP48" s="4"/>
      <c r="AQ48" s="4"/>
      <c r="AR48" s="4"/>
      <c r="AS48" s="133"/>
      <c r="AT48" s="133"/>
      <c r="AU48" s="133"/>
      <c r="AV48" s="133"/>
      <c r="AW48" s="133"/>
      <c r="AX48" s="133"/>
    </row>
    <row r="49" spans="1:50" s="112" customFormat="1" ht="30.75" customHeight="1" x14ac:dyDescent="0.2">
      <c r="A49" s="121"/>
      <c r="B49" s="128">
        <v>1</v>
      </c>
      <c r="C49" s="6">
        <v>18</v>
      </c>
      <c r="D49" s="169">
        <v>158</v>
      </c>
      <c r="E49" s="303">
        <f>IF(C49=0,"",IF(C49=0,0,501-D49))</f>
        <v>343</v>
      </c>
      <c r="F49" s="6"/>
      <c r="G49" s="6"/>
      <c r="H49" s="303">
        <f>IF(AND(H46=1,S46=0),1,IF(COUNT(C49:C55)&gt;3,IF(COUNT(D49:D55)=4,0,1),0))</f>
        <v>1</v>
      </c>
      <c r="I49" s="237"/>
      <c r="J49" s="59"/>
      <c r="K49" s="128">
        <v>1</v>
      </c>
      <c r="L49" s="6">
        <v>21</v>
      </c>
      <c r="M49" s="7"/>
      <c r="N49" s="303">
        <f t="shared" ref="N49:N55" si="9">IF(L49=0," ",IF(L49=0,0,501-M49))</f>
        <v>501</v>
      </c>
      <c r="O49" s="6">
        <v>2</v>
      </c>
      <c r="P49" s="162"/>
      <c r="Q49" s="218"/>
      <c r="R49" s="314">
        <f>IF(AND(S46=1,H46=0),1,IF(COUNT(L49:L55)&gt;3,IF(COUNT(M49:M55)=4,0,1),0))</f>
        <v>0</v>
      </c>
      <c r="S49" s="311"/>
      <c r="T49" s="133"/>
      <c r="V49" s="357" t="str">
        <f t="shared" ref="V49:V55" si="10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1">IF(AND(C49=0,L49&gt;0),"toinen TIKAT-sarake tyhjä !",IF(AND(C49&gt;0,L49=0),"toinen TIKAT-sarake tyhjä !",""))</f>
        <v/>
      </c>
      <c r="AE49" s="133"/>
      <c r="AF49" s="133"/>
      <c r="AG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133"/>
      <c r="AT49" s="133"/>
      <c r="AU49" s="133"/>
      <c r="AV49" s="133"/>
      <c r="AW49" s="133"/>
      <c r="AX49" s="133"/>
    </row>
    <row r="50" spans="1:50" s="112" customFormat="1" ht="30.75" customHeight="1" x14ac:dyDescent="0.25">
      <c r="A50" s="399" t="s">
        <v>15</v>
      </c>
      <c r="B50" s="128">
        <v>2</v>
      </c>
      <c r="C50" s="6">
        <v>15</v>
      </c>
      <c r="D50" s="7"/>
      <c r="E50" s="303">
        <f t="shared" ref="E50:E55" si="12">IF(C50=0," ",IF(C50=0,0,501-D50))</f>
        <v>501</v>
      </c>
      <c r="F50" s="6">
        <v>2</v>
      </c>
      <c r="G50" s="6"/>
      <c r="H50" s="5"/>
      <c r="I50" s="237"/>
      <c r="J50" s="59"/>
      <c r="K50" s="128">
        <v>2</v>
      </c>
      <c r="L50" s="6">
        <v>12</v>
      </c>
      <c r="M50" s="7">
        <v>281</v>
      </c>
      <c r="N50" s="303">
        <f t="shared" si="9"/>
        <v>220</v>
      </c>
      <c r="O50" s="6"/>
      <c r="P50" s="162"/>
      <c r="Q50" s="218"/>
      <c r="R50" s="303"/>
      <c r="S50" s="311"/>
      <c r="T50" s="133"/>
      <c r="U50" s="133"/>
      <c r="V50" s="357" t="str">
        <f t="shared" si="10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1"/>
        <v/>
      </c>
      <c r="AE50" s="133"/>
      <c r="AF50" s="133"/>
      <c r="AG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133"/>
      <c r="AT50" s="133"/>
      <c r="AU50" s="133"/>
      <c r="AV50" s="133"/>
      <c r="AW50" s="133"/>
      <c r="AX50" s="133"/>
    </row>
    <row r="51" spans="1:50" s="112" customFormat="1" ht="30.75" customHeight="1" x14ac:dyDescent="0.25">
      <c r="A51" s="400"/>
      <c r="B51" s="128">
        <v>3</v>
      </c>
      <c r="C51" s="6">
        <v>17</v>
      </c>
      <c r="D51" s="7"/>
      <c r="E51" s="303">
        <f t="shared" si="12"/>
        <v>501</v>
      </c>
      <c r="F51" s="6">
        <v>1</v>
      </c>
      <c r="G51" s="6"/>
      <c r="H51" s="5"/>
      <c r="I51" s="237"/>
      <c r="J51" s="59"/>
      <c r="K51" s="128">
        <v>3</v>
      </c>
      <c r="L51" s="6">
        <v>18</v>
      </c>
      <c r="M51" s="7">
        <v>60</v>
      </c>
      <c r="N51" s="303">
        <f t="shared" si="9"/>
        <v>441</v>
      </c>
      <c r="O51" s="6">
        <v>1</v>
      </c>
      <c r="P51" s="162"/>
      <c r="Q51" s="218"/>
      <c r="R51" s="303"/>
      <c r="S51" s="311"/>
      <c r="T51" s="133"/>
      <c r="U51" s="133"/>
      <c r="V51" s="357" t="str">
        <f t="shared" si="10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1"/>
        <v/>
      </c>
      <c r="AE51" s="133"/>
      <c r="AF51" s="133"/>
      <c r="AG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133"/>
      <c r="AT51" s="133"/>
      <c r="AU51" s="133"/>
      <c r="AV51" s="133"/>
      <c r="AW51" s="133"/>
      <c r="AX51" s="133"/>
    </row>
    <row r="52" spans="1:50" s="112" customFormat="1" ht="30.75" customHeight="1" x14ac:dyDescent="0.25">
      <c r="A52" s="400"/>
      <c r="B52" s="128">
        <v>4</v>
      </c>
      <c r="C52" s="6">
        <v>21</v>
      </c>
      <c r="D52" s="7">
        <v>20</v>
      </c>
      <c r="E52" s="303">
        <f t="shared" si="12"/>
        <v>481</v>
      </c>
      <c r="F52" s="6">
        <v>2</v>
      </c>
      <c r="G52" s="6"/>
      <c r="H52" s="5"/>
      <c r="I52" s="237"/>
      <c r="J52" s="59"/>
      <c r="K52" s="128">
        <v>4</v>
      </c>
      <c r="L52" s="6">
        <v>19</v>
      </c>
      <c r="M52" s="7"/>
      <c r="N52" s="303">
        <f t="shared" si="9"/>
        <v>501</v>
      </c>
      <c r="O52" s="6">
        <v>2</v>
      </c>
      <c r="P52" s="162"/>
      <c r="Q52" s="218"/>
      <c r="R52" s="303"/>
      <c r="S52" s="311"/>
      <c r="T52" s="133"/>
      <c r="U52" s="133"/>
      <c r="V52" s="357" t="str">
        <f t="shared" si="10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1"/>
        <v/>
      </c>
      <c r="AE52" s="133"/>
      <c r="AF52" s="133"/>
      <c r="AG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133"/>
      <c r="AT52" s="133"/>
      <c r="AU52" s="133"/>
      <c r="AV52" s="133"/>
      <c r="AW52" s="133"/>
      <c r="AX52" s="133"/>
    </row>
    <row r="53" spans="1:50" s="112" customFormat="1" ht="30.75" customHeight="1" x14ac:dyDescent="0.25">
      <c r="A53" s="121"/>
      <c r="B53" s="128">
        <v>5</v>
      </c>
      <c r="C53" s="6">
        <v>18</v>
      </c>
      <c r="D53" s="7"/>
      <c r="E53" s="303">
        <f t="shared" si="12"/>
        <v>501</v>
      </c>
      <c r="F53" s="6">
        <v>1</v>
      </c>
      <c r="G53" s="6">
        <v>1</v>
      </c>
      <c r="H53" s="5"/>
      <c r="I53" s="237"/>
      <c r="J53" s="59"/>
      <c r="K53" s="128">
        <v>5</v>
      </c>
      <c r="L53" s="6">
        <v>18</v>
      </c>
      <c r="M53" s="7">
        <v>80</v>
      </c>
      <c r="N53" s="303">
        <f t="shared" si="9"/>
        <v>421</v>
      </c>
      <c r="O53" s="6">
        <v>2</v>
      </c>
      <c r="P53" s="162"/>
      <c r="Q53" s="218"/>
      <c r="R53" s="303"/>
      <c r="S53" s="311"/>
      <c r="T53" s="133"/>
      <c r="U53" s="133"/>
      <c r="V53" s="357" t="str">
        <f t="shared" si="10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1"/>
        <v/>
      </c>
      <c r="AE53" s="133"/>
      <c r="AF53" s="133"/>
      <c r="AG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133"/>
      <c r="AT53" s="133"/>
      <c r="AU53" s="133"/>
      <c r="AV53" s="133"/>
      <c r="AW53" s="133"/>
      <c r="AX53" s="133"/>
    </row>
    <row r="54" spans="1:50" s="112" customFormat="1" ht="30.75" customHeight="1" x14ac:dyDescent="0.25">
      <c r="A54" s="121"/>
      <c r="B54" s="128">
        <v>6</v>
      </c>
      <c r="C54" s="6">
        <v>21</v>
      </c>
      <c r="D54" s="7"/>
      <c r="E54" s="303">
        <f t="shared" si="12"/>
        <v>501</v>
      </c>
      <c r="F54" s="6">
        <v>2</v>
      </c>
      <c r="G54" s="6"/>
      <c r="H54" s="5"/>
      <c r="I54" s="237"/>
      <c r="J54" s="59"/>
      <c r="K54" s="128">
        <v>6</v>
      </c>
      <c r="L54" s="6">
        <v>18</v>
      </c>
      <c r="M54" s="7">
        <v>196</v>
      </c>
      <c r="N54" s="303">
        <f t="shared" si="9"/>
        <v>305</v>
      </c>
      <c r="O54" s="6"/>
      <c r="P54" s="162"/>
      <c r="Q54" s="218"/>
      <c r="R54" s="303"/>
      <c r="S54" s="311"/>
      <c r="T54" s="133"/>
      <c r="U54" s="133"/>
      <c r="V54" s="357" t="str">
        <f t="shared" si="10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1"/>
        <v/>
      </c>
      <c r="AE54" s="133"/>
      <c r="AF54" s="133"/>
      <c r="AG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133"/>
      <c r="AT54" s="133"/>
      <c r="AU54" s="133"/>
      <c r="AV54" s="133"/>
      <c r="AW54" s="133"/>
      <c r="AX54" s="133"/>
    </row>
    <row r="55" spans="1:50" s="112" customFormat="1" ht="30.75" customHeight="1" x14ac:dyDescent="0.25">
      <c r="A55" s="121"/>
      <c r="B55" s="128">
        <v>7</v>
      </c>
      <c r="C55" s="6"/>
      <c r="D55" s="7"/>
      <c r="E55" s="303" t="str">
        <f t="shared" si="12"/>
        <v xml:space="preserve"> </v>
      </c>
      <c r="F55" s="6"/>
      <c r="G55" s="6"/>
      <c r="H55" s="5"/>
      <c r="I55" s="237"/>
      <c r="J55" s="59"/>
      <c r="K55" s="128">
        <v>7</v>
      </c>
      <c r="L55" s="6"/>
      <c r="M55" s="7"/>
      <c r="N55" s="303" t="str">
        <f t="shared" si="9"/>
        <v xml:space="preserve"> </v>
      </c>
      <c r="O55" s="6"/>
      <c r="P55" s="162"/>
      <c r="Q55" s="218"/>
      <c r="R55" s="303"/>
      <c r="S55" s="311"/>
      <c r="T55" s="133"/>
      <c r="U55" s="133"/>
      <c r="V55" s="357" t="str">
        <f t="shared" si="10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1"/>
        <v/>
      </c>
      <c r="AE55" s="133"/>
      <c r="AF55" s="133"/>
      <c r="AG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133"/>
      <c r="AT55" s="133"/>
      <c r="AU55" s="133"/>
      <c r="AV55" s="133"/>
      <c r="AW55" s="133"/>
      <c r="AX55" s="133"/>
    </row>
    <row r="56" spans="1:50" s="112" customFormat="1" ht="16.5" customHeight="1" thickBot="1" x14ac:dyDescent="0.25">
      <c r="A56" s="148"/>
      <c r="B56" s="137" t="s">
        <v>15</v>
      </c>
      <c r="C56" s="136">
        <f>COUNTIF(C49:C55,"&gt;0")</f>
        <v>6</v>
      </c>
      <c r="D56" s="136">
        <f>COUNTIF(D49:D55,"&gt;0")</f>
        <v>2</v>
      </c>
      <c r="E56" s="137"/>
      <c r="F56" s="138"/>
      <c r="G56" s="137"/>
      <c r="H56" s="137"/>
      <c r="I56" s="139"/>
      <c r="J56" s="140"/>
      <c r="K56" s="140"/>
      <c r="L56" s="136">
        <f>COUNTIF(L49:L55,"&gt;0")</f>
        <v>6</v>
      </c>
      <c r="M56" s="136">
        <f>COUNTIF(M49:M55,"&gt;0")</f>
        <v>4</v>
      </c>
      <c r="N56" s="137"/>
      <c r="O56" s="141"/>
      <c r="P56" s="135"/>
      <c r="Q56" s="216"/>
      <c r="R56" s="137"/>
      <c r="S56" s="312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133"/>
      <c r="AT56" s="133"/>
      <c r="AU56" s="133"/>
      <c r="AV56" s="133"/>
      <c r="AW56" s="133"/>
      <c r="AX56" s="133"/>
    </row>
    <row r="57" spans="1:50" s="4" customFormat="1" ht="26.25" customHeight="1" thickBot="1" x14ac:dyDescent="0.25">
      <c r="A57" s="5"/>
      <c r="C57" s="112"/>
      <c r="D57" s="112"/>
      <c r="F57" s="109"/>
      <c r="I57" s="234"/>
      <c r="J57" s="111"/>
      <c r="K57" s="110"/>
      <c r="L57" s="168"/>
      <c r="M57" s="168"/>
      <c r="O57" s="170"/>
      <c r="P57" s="112"/>
      <c r="Q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12"/>
      <c r="AI57" s="133"/>
      <c r="AJ57" s="133"/>
      <c r="AK57" s="133"/>
      <c r="AS57" s="133"/>
      <c r="AT57" s="133"/>
      <c r="AU57" s="133"/>
      <c r="AV57" s="133"/>
      <c r="AW57" s="133"/>
      <c r="AX57" s="133"/>
    </row>
    <row r="58" spans="1:50" s="112" customFormat="1" ht="27" customHeight="1" x14ac:dyDescent="0.25">
      <c r="A58" s="113"/>
      <c r="B58" s="114" t="s">
        <v>0</v>
      </c>
      <c r="C58" s="420" t="str">
        <f>C16</f>
        <v>Viinikka Veijo</v>
      </c>
      <c r="D58" s="420"/>
      <c r="E58" s="420"/>
      <c r="F58" s="420"/>
      <c r="G58" s="420"/>
      <c r="H58" s="322">
        <f>IF(OR(H59="L",C58=0),0,1)</f>
        <v>1</v>
      </c>
      <c r="I58" s="238"/>
      <c r="J58" s="145"/>
      <c r="K58" s="117" t="s">
        <v>0</v>
      </c>
      <c r="L58" s="420" t="str">
        <f>J16</f>
        <v>Högström Sami</v>
      </c>
      <c r="M58" s="420"/>
      <c r="N58" s="420"/>
      <c r="O58" s="420"/>
      <c r="P58" s="420"/>
      <c r="Q58" s="420"/>
      <c r="R58" s="420"/>
      <c r="S58" s="310">
        <f>IF(OR(I59="L",L58=0),0,1)</f>
        <v>1</v>
      </c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133"/>
      <c r="AT58" s="133"/>
      <c r="AU58" s="133"/>
      <c r="AV58" s="133"/>
      <c r="AW58" s="133"/>
      <c r="AX58" s="133"/>
    </row>
    <row r="59" spans="1:50" s="112" customFormat="1" x14ac:dyDescent="0.2">
      <c r="A59" s="121"/>
      <c r="B59" s="21"/>
      <c r="C59" s="21"/>
      <c r="D59" s="21"/>
      <c r="E59" s="21"/>
      <c r="F59" s="146"/>
      <c r="G59" s="21"/>
      <c r="H59" s="321"/>
      <c r="I59" s="391"/>
      <c r="J59" s="392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133"/>
      <c r="AT59" s="133"/>
      <c r="AU59" s="133"/>
      <c r="AV59" s="133"/>
      <c r="AW59" s="133"/>
      <c r="AX59" s="133"/>
    </row>
    <row r="60" spans="1:50" s="112" customFormat="1" x14ac:dyDescent="0.2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236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133"/>
      <c r="AT60" s="133"/>
      <c r="AU60" s="133"/>
      <c r="AV60" s="133"/>
      <c r="AW60" s="133"/>
      <c r="AX60" s="133"/>
    </row>
    <row r="61" spans="1:50" s="112" customFormat="1" ht="30.75" customHeight="1" x14ac:dyDescent="0.2">
      <c r="A61" s="121"/>
      <c r="B61" s="128">
        <v>1</v>
      </c>
      <c r="C61" s="6">
        <v>15</v>
      </c>
      <c r="D61" s="7">
        <v>75</v>
      </c>
      <c r="E61" s="303">
        <f>IF(C61=0,"",IF(C61=0,0,501-D61))</f>
        <v>426</v>
      </c>
      <c r="F61" s="6">
        <v>2</v>
      </c>
      <c r="G61" s="6"/>
      <c r="H61" s="324">
        <f>IF(AND(H58=1,S58=0),1,IF(COUNT(C61:C67)&gt;3,IF(COUNT(D61:D67)=4,0,1),0))</f>
        <v>0</v>
      </c>
      <c r="I61" s="237"/>
      <c r="J61" s="59"/>
      <c r="K61" s="128">
        <v>1</v>
      </c>
      <c r="L61" s="6">
        <v>14</v>
      </c>
      <c r="M61" s="7"/>
      <c r="N61" s="303">
        <f t="shared" ref="N61:N67" si="13">IF(L61=0," ",IF(L61=0,0,501-M61))</f>
        <v>501</v>
      </c>
      <c r="O61" s="6">
        <v>2</v>
      </c>
      <c r="P61" s="162"/>
      <c r="Q61" s="218"/>
      <c r="R61" s="314">
        <f>IF(AND(S58=1,H58=0),1,IF(COUNT(L61:L67)&gt;3,IF(COUNT(M61:M67)=4,0,1),0))</f>
        <v>1</v>
      </c>
      <c r="S61" s="311"/>
      <c r="T61" s="133"/>
      <c r="V61" s="357" t="str">
        <f t="shared" ref="V61:V67" si="14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5">IF(AND(C61=0,L61&gt;0),"toinen TIKAT-sarake tyhjä !",IF(AND(C61&gt;0,L61=0),"toinen TIKAT-sarake tyhjä !",""))</f>
        <v/>
      </c>
      <c r="AE61" s="133"/>
      <c r="AF61" s="133"/>
      <c r="AG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133"/>
      <c r="AT61" s="133"/>
      <c r="AU61" s="133"/>
      <c r="AV61" s="133"/>
      <c r="AW61" s="133"/>
      <c r="AX61" s="133"/>
    </row>
    <row r="62" spans="1:50" s="112" customFormat="1" ht="30.75" customHeight="1" x14ac:dyDescent="0.25">
      <c r="A62" s="399" t="s">
        <v>16</v>
      </c>
      <c r="B62" s="128">
        <v>2</v>
      </c>
      <c r="C62" s="6">
        <v>21</v>
      </c>
      <c r="D62" s="7">
        <v>3</v>
      </c>
      <c r="E62" s="303">
        <f t="shared" ref="E62:E67" si="16">IF(C62=0," ",IF(C62=0,0,501-D62))</f>
        <v>498</v>
      </c>
      <c r="F62" s="6">
        <v>2</v>
      </c>
      <c r="G62" s="6"/>
      <c r="H62" s="311"/>
      <c r="I62" s="237"/>
      <c r="J62" s="59"/>
      <c r="K62" s="128">
        <v>2</v>
      </c>
      <c r="L62" s="6">
        <v>22</v>
      </c>
      <c r="M62" s="7"/>
      <c r="N62" s="303">
        <f t="shared" si="13"/>
        <v>501</v>
      </c>
      <c r="O62" s="6">
        <v>3</v>
      </c>
      <c r="P62" s="162"/>
      <c r="Q62" s="218"/>
      <c r="R62" s="303"/>
      <c r="S62" s="311"/>
      <c r="T62" s="133"/>
      <c r="U62" s="133"/>
      <c r="V62" s="357" t="str">
        <f t="shared" si="14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5"/>
        <v/>
      </c>
      <c r="AE62" s="133"/>
      <c r="AF62" s="133"/>
      <c r="AG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133"/>
      <c r="AT62" s="133"/>
      <c r="AU62" s="133"/>
      <c r="AV62" s="133"/>
      <c r="AW62" s="133"/>
      <c r="AX62" s="133"/>
    </row>
    <row r="63" spans="1:50" s="112" customFormat="1" ht="30.75" customHeight="1" x14ac:dyDescent="0.25">
      <c r="A63" s="400"/>
      <c r="B63" s="128">
        <v>3</v>
      </c>
      <c r="C63" s="6">
        <v>21</v>
      </c>
      <c r="D63" s="7">
        <v>25</v>
      </c>
      <c r="E63" s="303">
        <f t="shared" si="16"/>
        <v>476</v>
      </c>
      <c r="F63" s="6">
        <v>1</v>
      </c>
      <c r="G63" s="6"/>
      <c r="H63" s="311"/>
      <c r="I63" s="237"/>
      <c r="J63" s="59"/>
      <c r="K63" s="128">
        <v>3</v>
      </c>
      <c r="L63" s="6">
        <v>19</v>
      </c>
      <c r="M63" s="7"/>
      <c r="N63" s="303">
        <f t="shared" si="13"/>
        <v>501</v>
      </c>
      <c r="O63" s="6">
        <v>3</v>
      </c>
      <c r="P63" s="162"/>
      <c r="Q63" s="218"/>
      <c r="R63" s="303"/>
      <c r="S63" s="311"/>
      <c r="T63" s="133"/>
      <c r="U63" s="133"/>
      <c r="V63" s="357" t="str">
        <f t="shared" si="14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5"/>
        <v/>
      </c>
      <c r="AE63" s="133"/>
      <c r="AF63" s="133"/>
      <c r="AG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133"/>
      <c r="AT63" s="133"/>
      <c r="AU63" s="133"/>
      <c r="AV63" s="133"/>
      <c r="AW63" s="133"/>
      <c r="AX63" s="133"/>
    </row>
    <row r="64" spans="1:50" s="112" customFormat="1" ht="30.75" customHeight="1" x14ac:dyDescent="0.25">
      <c r="A64" s="400"/>
      <c r="B64" s="128">
        <v>4</v>
      </c>
      <c r="C64" s="6">
        <v>21</v>
      </c>
      <c r="D64" s="7"/>
      <c r="E64" s="303">
        <f t="shared" si="16"/>
        <v>501</v>
      </c>
      <c r="F64" s="6">
        <v>3</v>
      </c>
      <c r="G64" s="6"/>
      <c r="H64" s="311"/>
      <c r="I64" s="237"/>
      <c r="J64" s="59"/>
      <c r="K64" s="128">
        <v>4</v>
      </c>
      <c r="L64" s="6">
        <v>21</v>
      </c>
      <c r="M64" s="7">
        <v>60</v>
      </c>
      <c r="N64" s="303">
        <f t="shared" si="13"/>
        <v>441</v>
      </c>
      <c r="O64" s="6"/>
      <c r="P64" s="162"/>
      <c r="Q64" s="218"/>
      <c r="R64" s="303"/>
      <c r="S64" s="311"/>
      <c r="T64" s="133"/>
      <c r="U64" s="133"/>
      <c r="V64" s="357" t="str">
        <f t="shared" si="14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5"/>
        <v/>
      </c>
      <c r="AE64" s="133"/>
      <c r="AF64" s="133"/>
      <c r="AG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133"/>
      <c r="AT64" s="133"/>
      <c r="AU64" s="133"/>
      <c r="AV64" s="133"/>
      <c r="AW64" s="133"/>
      <c r="AX64" s="133"/>
    </row>
    <row r="65" spans="1:50" s="112" customFormat="1" ht="30.75" customHeight="1" x14ac:dyDescent="0.25">
      <c r="A65" s="121"/>
      <c r="B65" s="128">
        <v>5</v>
      </c>
      <c r="C65" s="6">
        <v>18</v>
      </c>
      <c r="D65" s="7">
        <v>16</v>
      </c>
      <c r="E65" s="303">
        <f t="shared" si="16"/>
        <v>485</v>
      </c>
      <c r="F65" s="6">
        <v>3</v>
      </c>
      <c r="G65" s="6"/>
      <c r="H65" s="311"/>
      <c r="I65" s="237"/>
      <c r="J65" s="59"/>
      <c r="K65" s="128">
        <v>5</v>
      </c>
      <c r="L65" s="6">
        <v>17</v>
      </c>
      <c r="M65" s="7"/>
      <c r="N65" s="303">
        <f t="shared" si="13"/>
        <v>501</v>
      </c>
      <c r="O65" s="6">
        <v>4</v>
      </c>
      <c r="P65" s="162"/>
      <c r="Q65" s="218"/>
      <c r="R65" s="303"/>
      <c r="S65" s="311"/>
      <c r="T65" s="133"/>
      <c r="U65" s="133"/>
      <c r="V65" s="357" t="str">
        <f t="shared" si="14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5"/>
        <v/>
      </c>
      <c r="AE65" s="133"/>
      <c r="AF65" s="133"/>
      <c r="AG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133"/>
      <c r="AT65" s="133"/>
      <c r="AU65" s="133"/>
      <c r="AV65" s="133"/>
      <c r="AW65" s="133"/>
      <c r="AX65" s="133"/>
    </row>
    <row r="66" spans="1:50" s="112" customFormat="1" ht="30.75" customHeight="1" x14ac:dyDescent="0.25">
      <c r="A66" s="121"/>
      <c r="B66" s="128">
        <v>6</v>
      </c>
      <c r="C66" s="6"/>
      <c r="D66" s="6"/>
      <c r="E66" s="303" t="str">
        <f t="shared" si="16"/>
        <v xml:space="preserve"> </v>
      </c>
      <c r="F66" s="6"/>
      <c r="G66" s="6"/>
      <c r="H66" s="311"/>
      <c r="I66" s="237"/>
      <c r="J66" s="59"/>
      <c r="K66" s="128">
        <v>6</v>
      </c>
      <c r="L66" s="6"/>
      <c r="M66" s="6"/>
      <c r="N66" s="303" t="str">
        <f t="shared" si="13"/>
        <v xml:space="preserve"> </v>
      </c>
      <c r="O66" s="6"/>
      <c r="P66" s="162"/>
      <c r="Q66" s="218"/>
      <c r="R66" s="303"/>
      <c r="S66" s="311"/>
      <c r="T66" s="133"/>
      <c r="U66" s="133"/>
      <c r="V66" s="357" t="str">
        <f t="shared" si="14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5"/>
        <v/>
      </c>
      <c r="AE66" s="133"/>
      <c r="AF66" s="133"/>
      <c r="AG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133"/>
      <c r="AT66" s="133"/>
      <c r="AU66" s="133"/>
      <c r="AV66" s="133"/>
      <c r="AW66" s="133"/>
      <c r="AX66" s="133"/>
    </row>
    <row r="67" spans="1:50" s="112" customFormat="1" ht="30.75" customHeight="1" x14ac:dyDescent="0.25">
      <c r="A67" s="121"/>
      <c r="B67" s="128">
        <v>7</v>
      </c>
      <c r="C67" s="6"/>
      <c r="D67" s="6"/>
      <c r="E67" s="303" t="str">
        <f t="shared" si="16"/>
        <v xml:space="preserve"> </v>
      </c>
      <c r="F67" s="6"/>
      <c r="G67" s="6"/>
      <c r="H67" s="311"/>
      <c r="I67" s="237"/>
      <c r="J67" s="59"/>
      <c r="K67" s="128">
        <v>7</v>
      </c>
      <c r="L67" s="6"/>
      <c r="M67" s="6"/>
      <c r="N67" s="303" t="str">
        <f t="shared" si="13"/>
        <v xml:space="preserve"> </v>
      </c>
      <c r="O67" s="6"/>
      <c r="P67" s="162"/>
      <c r="Q67" s="218"/>
      <c r="R67" s="303"/>
      <c r="S67" s="311"/>
      <c r="T67" s="133"/>
      <c r="U67" s="133"/>
      <c r="V67" s="357" t="str">
        <f t="shared" si="14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5"/>
        <v/>
      </c>
      <c r="AE67" s="133"/>
      <c r="AF67" s="133"/>
      <c r="AG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133"/>
      <c r="AT67" s="133"/>
      <c r="AU67" s="133"/>
      <c r="AV67" s="133"/>
      <c r="AW67" s="133"/>
      <c r="AX67" s="133"/>
    </row>
    <row r="68" spans="1:50" s="112" customFormat="1" ht="16.5" customHeight="1" thickBot="1" x14ac:dyDescent="0.25">
      <c r="A68" s="148"/>
      <c r="B68" s="137" t="s">
        <v>16</v>
      </c>
      <c r="C68" s="136">
        <f>COUNTIF(C61:C67,"&gt;0")</f>
        <v>5</v>
      </c>
      <c r="D68" s="136">
        <f>COUNTIF(D61:D67,"&gt;0")</f>
        <v>4</v>
      </c>
      <c r="E68" s="137"/>
      <c r="F68" s="138"/>
      <c r="G68" s="137"/>
      <c r="H68" s="312"/>
      <c r="I68" s="139"/>
      <c r="J68" s="140"/>
      <c r="K68" s="140"/>
      <c r="L68" s="136">
        <f>COUNTIF(L61:L67,"&gt;0")</f>
        <v>5</v>
      </c>
      <c r="M68" s="136">
        <f>COUNTIF(M61:M67,"&gt;0")</f>
        <v>1</v>
      </c>
      <c r="N68" s="137"/>
      <c r="O68" s="138"/>
      <c r="P68" s="135"/>
      <c r="Q68" s="216"/>
      <c r="R68" s="137"/>
      <c r="S68" s="312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133"/>
      <c r="AT68" s="133"/>
      <c r="AU68" s="133"/>
      <c r="AV68" s="133"/>
      <c r="AW68" s="133"/>
      <c r="AX68" s="133"/>
    </row>
    <row r="69" spans="1:50" s="4" customFormat="1" ht="26.25" customHeight="1" thickBot="1" x14ac:dyDescent="0.25">
      <c r="A69" s="5"/>
      <c r="C69" s="112"/>
      <c r="D69" s="112"/>
      <c r="F69" s="109"/>
      <c r="I69" s="234"/>
      <c r="J69" s="111"/>
      <c r="K69" s="110"/>
      <c r="L69" s="168"/>
      <c r="M69" s="168"/>
      <c r="O69" s="170"/>
      <c r="P69" s="112"/>
      <c r="Q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12"/>
      <c r="AI69" s="133"/>
      <c r="AJ69" s="133"/>
      <c r="AK69" s="133"/>
      <c r="AS69" s="133"/>
      <c r="AT69" s="133"/>
      <c r="AU69" s="133"/>
      <c r="AV69" s="133"/>
      <c r="AW69" s="133"/>
      <c r="AX69" s="133"/>
    </row>
    <row r="70" spans="1:50" s="112" customFormat="1" ht="29.25" customHeight="1" x14ac:dyDescent="0.25">
      <c r="A70" s="113"/>
      <c r="B70" s="114" t="s">
        <v>0</v>
      </c>
      <c r="C70" s="420" t="str">
        <f>C17</f>
        <v>Hyttinen Pasi</v>
      </c>
      <c r="D70" s="420"/>
      <c r="E70" s="420"/>
      <c r="F70" s="420"/>
      <c r="G70" s="420"/>
      <c r="H70" s="322">
        <f>IF(OR(H71="L",C70=0),0,1)</f>
        <v>1</v>
      </c>
      <c r="I70" s="238"/>
      <c r="J70" s="145"/>
      <c r="K70" s="117" t="s">
        <v>0</v>
      </c>
      <c r="L70" s="420" t="str">
        <f>J17</f>
        <v>Ek Matti</v>
      </c>
      <c r="M70" s="420"/>
      <c r="N70" s="420"/>
      <c r="O70" s="420"/>
      <c r="P70" s="420"/>
      <c r="Q70" s="420"/>
      <c r="R70" s="420"/>
      <c r="S70" s="310">
        <f>IF(OR(I71="L",L70=0),0,1)</f>
        <v>1</v>
      </c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133"/>
      <c r="AT70" s="133"/>
      <c r="AU70" s="133"/>
      <c r="AV70" s="133"/>
      <c r="AW70" s="133"/>
      <c r="AX70" s="133"/>
    </row>
    <row r="71" spans="1:50" s="112" customFormat="1" x14ac:dyDescent="0.2">
      <c r="A71" s="121"/>
      <c r="B71" s="21"/>
      <c r="C71" s="21"/>
      <c r="D71" s="21"/>
      <c r="E71" s="21"/>
      <c r="F71" s="146"/>
      <c r="G71" s="21"/>
      <c r="H71" s="321"/>
      <c r="I71" s="391"/>
      <c r="J71" s="392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133"/>
      <c r="AT71" s="133"/>
      <c r="AU71" s="133"/>
      <c r="AV71" s="133"/>
      <c r="AW71" s="133"/>
      <c r="AX71" s="133"/>
    </row>
    <row r="72" spans="1:50" s="112" customFormat="1" x14ac:dyDescent="0.2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236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133"/>
      <c r="AT72" s="133"/>
      <c r="AU72" s="133"/>
      <c r="AV72" s="133"/>
      <c r="AW72" s="133"/>
      <c r="AX72" s="133"/>
    </row>
    <row r="73" spans="1:50" s="112" customFormat="1" ht="30" customHeight="1" x14ac:dyDescent="0.2">
      <c r="A73" s="121"/>
      <c r="B73" s="128">
        <v>1</v>
      </c>
      <c r="C73" s="6">
        <v>24</v>
      </c>
      <c r="D73" s="7"/>
      <c r="E73" s="303">
        <f t="shared" ref="E73:E79" si="17">IF(C73=0," ",IF(C73=0,0,501-D73))</f>
        <v>501</v>
      </c>
      <c r="F73" s="6">
        <v>1</v>
      </c>
      <c r="G73" s="6"/>
      <c r="H73" s="324">
        <f>IF(AND(H70=1,S70=0),1,IF(COUNT(C73:C79)&gt;3,IF(COUNT(D73:D79)=4,0,1),0))</f>
        <v>1</v>
      </c>
      <c r="I73" s="237"/>
      <c r="J73" s="59"/>
      <c r="K73" s="128">
        <v>1</v>
      </c>
      <c r="L73" s="6">
        <v>24</v>
      </c>
      <c r="M73" s="7">
        <v>8</v>
      </c>
      <c r="N73" s="303">
        <f t="shared" ref="N73:N79" si="18">IF(L73=0," ",IF(L73=0,0,501-M73))</f>
        <v>493</v>
      </c>
      <c r="O73" s="6">
        <v>1</v>
      </c>
      <c r="P73" s="163"/>
      <c r="Q73" s="222"/>
      <c r="R73" s="314">
        <f>IF(AND(S70=1,H70=0),1,IF(COUNT(L73:L79)&gt;3,IF(COUNT(M73:M79)=4,0,1),0))</f>
        <v>0</v>
      </c>
      <c r="S73" s="311"/>
      <c r="T73" s="133"/>
      <c r="V73" s="357" t="str">
        <f t="shared" ref="V73:V79" si="19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20">IF(AND(C73=0,L73&gt;0),"toinen TIKAT-sarake tyhjä !",IF(AND(C73&gt;0,L73=0),"toinen TIKAT-sarake tyhjä !",""))</f>
        <v/>
      </c>
      <c r="AE73" s="133"/>
      <c r="AF73" s="133"/>
      <c r="AG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133"/>
      <c r="AT73" s="133"/>
      <c r="AU73" s="133"/>
      <c r="AV73" s="133"/>
      <c r="AW73" s="133"/>
      <c r="AX73" s="133"/>
    </row>
    <row r="74" spans="1:50" s="112" customFormat="1" ht="30" customHeight="1" x14ac:dyDescent="0.25">
      <c r="A74" s="399" t="s">
        <v>17</v>
      </c>
      <c r="B74" s="128">
        <v>2</v>
      </c>
      <c r="C74" s="6">
        <v>19</v>
      </c>
      <c r="D74" s="7"/>
      <c r="E74" s="303">
        <f t="shared" si="17"/>
        <v>501</v>
      </c>
      <c r="F74" s="6">
        <v>2</v>
      </c>
      <c r="G74" s="6"/>
      <c r="H74" s="311"/>
      <c r="I74" s="237"/>
      <c r="J74" s="59"/>
      <c r="K74" s="128">
        <v>2</v>
      </c>
      <c r="L74" s="6">
        <v>18</v>
      </c>
      <c r="M74" s="7">
        <v>100</v>
      </c>
      <c r="N74" s="303">
        <f t="shared" si="18"/>
        <v>401</v>
      </c>
      <c r="O74" s="6">
        <v>1</v>
      </c>
      <c r="P74" s="163"/>
      <c r="Q74" s="222"/>
      <c r="R74" s="303"/>
      <c r="S74" s="311"/>
      <c r="T74" s="133"/>
      <c r="U74" s="133"/>
      <c r="V74" s="357" t="str">
        <f t="shared" si="19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20"/>
        <v/>
      </c>
      <c r="AE74" s="133"/>
      <c r="AF74" s="133"/>
      <c r="AG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133"/>
      <c r="AT74" s="133"/>
      <c r="AU74" s="133"/>
      <c r="AV74" s="133"/>
      <c r="AW74" s="133"/>
      <c r="AX74" s="133"/>
    </row>
    <row r="75" spans="1:50" s="112" customFormat="1" ht="30" customHeight="1" x14ac:dyDescent="0.25">
      <c r="A75" s="400"/>
      <c r="B75" s="128">
        <v>3</v>
      </c>
      <c r="C75" s="6">
        <v>21</v>
      </c>
      <c r="D75" s="7"/>
      <c r="E75" s="303">
        <f t="shared" si="17"/>
        <v>501</v>
      </c>
      <c r="F75" s="6">
        <v>1</v>
      </c>
      <c r="G75" s="6"/>
      <c r="H75" s="311"/>
      <c r="I75" s="237"/>
      <c r="J75" s="59"/>
      <c r="K75" s="128">
        <v>3</v>
      </c>
      <c r="L75" s="6">
        <v>21</v>
      </c>
      <c r="M75" s="7">
        <v>125</v>
      </c>
      <c r="N75" s="303">
        <f t="shared" si="18"/>
        <v>376</v>
      </c>
      <c r="O75" s="6">
        <v>2</v>
      </c>
      <c r="P75" s="163"/>
      <c r="Q75" s="222"/>
      <c r="R75" s="303"/>
      <c r="S75" s="311"/>
      <c r="T75" s="133"/>
      <c r="U75" s="133"/>
      <c r="V75" s="357" t="str">
        <f t="shared" si="19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20"/>
        <v/>
      </c>
      <c r="AE75" s="133"/>
      <c r="AF75" s="133"/>
      <c r="AG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133"/>
      <c r="AT75" s="133"/>
      <c r="AU75" s="133"/>
      <c r="AV75" s="133"/>
      <c r="AW75" s="133"/>
      <c r="AX75" s="133"/>
    </row>
    <row r="76" spans="1:50" s="112" customFormat="1" ht="30" customHeight="1" x14ac:dyDescent="0.25">
      <c r="A76" s="400"/>
      <c r="B76" s="128">
        <v>4</v>
      </c>
      <c r="C76" s="6">
        <v>23</v>
      </c>
      <c r="D76" s="7"/>
      <c r="E76" s="303">
        <f t="shared" si="17"/>
        <v>501</v>
      </c>
      <c r="F76" s="6">
        <v>1</v>
      </c>
      <c r="G76" s="6"/>
      <c r="H76" s="311"/>
      <c r="I76" s="237"/>
      <c r="J76" s="59"/>
      <c r="K76" s="128">
        <v>4</v>
      </c>
      <c r="L76" s="6">
        <v>21</v>
      </c>
      <c r="M76" s="7">
        <v>100</v>
      </c>
      <c r="N76" s="303">
        <f t="shared" si="18"/>
        <v>401</v>
      </c>
      <c r="O76" s="6"/>
      <c r="P76" s="163"/>
      <c r="Q76" s="222"/>
      <c r="R76" s="303"/>
      <c r="S76" s="311"/>
      <c r="T76" s="133"/>
      <c r="U76" s="133"/>
      <c r="V76" s="357" t="str">
        <f t="shared" si="19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20"/>
        <v/>
      </c>
      <c r="AE76" s="133"/>
      <c r="AF76" s="133"/>
      <c r="AG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133"/>
      <c r="AT76" s="133"/>
      <c r="AU76" s="133"/>
      <c r="AV76" s="133"/>
      <c r="AW76" s="133"/>
      <c r="AX76" s="133"/>
    </row>
    <row r="77" spans="1:50" s="112" customFormat="1" ht="30" customHeight="1" x14ac:dyDescent="0.25">
      <c r="A77" s="121"/>
      <c r="B77" s="128">
        <v>5</v>
      </c>
      <c r="C77" s="6"/>
      <c r="D77" s="7"/>
      <c r="E77" s="303" t="str">
        <f t="shared" si="17"/>
        <v xml:space="preserve"> </v>
      </c>
      <c r="F77" s="6"/>
      <c r="G77" s="6"/>
      <c r="H77" s="311"/>
      <c r="I77" s="237"/>
      <c r="J77" s="59"/>
      <c r="K77" s="128">
        <v>5</v>
      </c>
      <c r="L77" s="6"/>
      <c r="M77" s="7"/>
      <c r="N77" s="303" t="str">
        <f t="shared" si="18"/>
        <v xml:space="preserve"> </v>
      </c>
      <c r="O77" s="6"/>
      <c r="P77" s="163"/>
      <c r="Q77" s="222"/>
      <c r="R77" s="303"/>
      <c r="S77" s="311"/>
      <c r="T77" s="133"/>
      <c r="U77" s="133"/>
      <c r="V77" s="357" t="str">
        <f t="shared" si="19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20"/>
        <v/>
      </c>
      <c r="AE77" s="133"/>
      <c r="AF77" s="133"/>
      <c r="AG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133"/>
      <c r="AT77" s="133"/>
      <c r="AU77" s="133"/>
      <c r="AV77" s="133"/>
      <c r="AW77" s="133"/>
      <c r="AX77" s="133"/>
    </row>
    <row r="78" spans="1:50" s="112" customFormat="1" ht="30" customHeight="1" x14ac:dyDescent="0.25">
      <c r="A78" s="121"/>
      <c r="B78" s="128">
        <v>6</v>
      </c>
      <c r="C78" s="6"/>
      <c r="D78" s="6"/>
      <c r="E78" s="303" t="str">
        <f t="shared" si="17"/>
        <v xml:space="preserve"> </v>
      </c>
      <c r="F78" s="6"/>
      <c r="G78" s="7"/>
      <c r="H78" s="311"/>
      <c r="I78" s="237"/>
      <c r="J78" s="59"/>
      <c r="K78" s="128">
        <v>6</v>
      </c>
      <c r="L78" s="6"/>
      <c r="M78" s="6"/>
      <c r="N78" s="303" t="str">
        <f t="shared" si="18"/>
        <v xml:space="preserve"> </v>
      </c>
      <c r="O78" s="6"/>
      <c r="P78" s="163"/>
      <c r="Q78" s="222"/>
      <c r="R78" s="303"/>
      <c r="S78" s="311"/>
      <c r="T78" s="133"/>
      <c r="U78" s="133"/>
      <c r="V78" s="357" t="str">
        <f t="shared" si="19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20"/>
        <v/>
      </c>
      <c r="AE78" s="133"/>
      <c r="AF78" s="133"/>
      <c r="AG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133"/>
      <c r="AT78" s="133"/>
      <c r="AU78" s="133"/>
      <c r="AV78" s="133"/>
      <c r="AW78" s="133"/>
      <c r="AX78" s="133"/>
    </row>
    <row r="79" spans="1:50" s="112" customFormat="1" ht="30" customHeight="1" x14ac:dyDescent="0.25">
      <c r="A79" s="121"/>
      <c r="B79" s="128">
        <v>7</v>
      </c>
      <c r="C79" s="6"/>
      <c r="D79" s="6"/>
      <c r="E79" s="303" t="str">
        <f t="shared" si="17"/>
        <v xml:space="preserve"> </v>
      </c>
      <c r="F79" s="6"/>
      <c r="G79" s="7"/>
      <c r="H79" s="311"/>
      <c r="I79" s="237"/>
      <c r="J79" s="59"/>
      <c r="K79" s="128">
        <v>7</v>
      </c>
      <c r="L79" s="6"/>
      <c r="M79" s="6"/>
      <c r="N79" s="303" t="str">
        <f t="shared" si="18"/>
        <v xml:space="preserve"> </v>
      </c>
      <c r="O79" s="6"/>
      <c r="P79" s="163"/>
      <c r="Q79" s="222"/>
      <c r="R79" s="303"/>
      <c r="S79" s="311"/>
      <c r="T79" s="133"/>
      <c r="U79" s="133"/>
      <c r="V79" s="357" t="str">
        <f t="shared" si="19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20"/>
        <v/>
      </c>
      <c r="AE79" s="133"/>
      <c r="AF79" s="133"/>
      <c r="AG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133"/>
      <c r="AT79" s="133"/>
      <c r="AU79" s="133"/>
      <c r="AV79" s="133"/>
      <c r="AW79" s="133"/>
      <c r="AX79" s="133"/>
    </row>
    <row r="80" spans="1:50" s="112" customFormat="1" ht="17.25" customHeight="1" thickBot="1" x14ac:dyDescent="0.25">
      <c r="A80" s="148"/>
      <c r="B80" s="135"/>
      <c r="C80" s="136">
        <f>COUNTIF(C73:C79,"&gt;0")</f>
        <v>4</v>
      </c>
      <c r="D80" s="136">
        <f>COUNTIF(D73:D79,"&gt;0")</f>
        <v>0</v>
      </c>
      <c r="E80" s="137"/>
      <c r="F80" s="138"/>
      <c r="G80" s="137"/>
      <c r="H80" s="312"/>
      <c r="I80" s="139"/>
      <c r="J80" s="140"/>
      <c r="K80" s="140"/>
      <c r="L80" s="136">
        <f>COUNTIF(L73:L79,"&gt;0")</f>
        <v>4</v>
      </c>
      <c r="M80" s="136">
        <f>COUNTIF(M73:M79,"&gt;0")</f>
        <v>4</v>
      </c>
      <c r="N80" s="137"/>
      <c r="O80" s="141"/>
      <c r="P80" s="135"/>
      <c r="Q80" s="216"/>
      <c r="R80" s="137"/>
      <c r="S80" s="312"/>
      <c r="T80" s="118"/>
      <c r="U80" s="118"/>
      <c r="V80" s="118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133"/>
      <c r="AT80" s="133"/>
      <c r="AU80" s="133"/>
      <c r="AV80" s="133"/>
      <c r="AW80" s="133"/>
      <c r="AX80" s="133"/>
    </row>
    <row r="81" spans="1:50" s="4" customFormat="1" ht="26.25" customHeight="1" thickBot="1" x14ac:dyDescent="0.25">
      <c r="A81" s="5"/>
      <c r="B81" s="4" t="s">
        <v>17</v>
      </c>
      <c r="C81" s="21"/>
      <c r="D81" s="21"/>
      <c r="E81" s="5"/>
      <c r="F81" s="52"/>
      <c r="G81" s="5"/>
      <c r="H81" s="5"/>
      <c r="I81" s="120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18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12"/>
      <c r="AI81" s="133"/>
      <c r="AJ81" s="133"/>
      <c r="AK81" s="133"/>
      <c r="AS81" s="133"/>
      <c r="AT81" s="133"/>
      <c r="AU81" s="133"/>
      <c r="AV81" s="133"/>
      <c r="AW81" s="133"/>
      <c r="AX81" s="133"/>
    </row>
    <row r="82" spans="1:50" s="112" customFormat="1" ht="30" customHeight="1" x14ac:dyDescent="0.25">
      <c r="A82" s="113"/>
      <c r="B82" s="114" t="s">
        <v>0</v>
      </c>
      <c r="C82" s="420" t="str">
        <f>C18</f>
        <v>Finnilä Pauli</v>
      </c>
      <c r="D82" s="420"/>
      <c r="E82" s="420"/>
      <c r="F82" s="420"/>
      <c r="G82" s="420"/>
      <c r="H82" s="322">
        <f>IF(OR(H83="L",C82=0),0,1)</f>
        <v>1</v>
      </c>
      <c r="I82" s="238"/>
      <c r="J82" s="145"/>
      <c r="K82" s="117" t="s">
        <v>0</v>
      </c>
      <c r="L82" s="420" t="str">
        <f>J18</f>
        <v>Kinnunen Tomi</v>
      </c>
      <c r="M82" s="420"/>
      <c r="N82" s="420"/>
      <c r="O82" s="420"/>
      <c r="P82" s="420"/>
      <c r="Q82" s="420"/>
      <c r="R82" s="420"/>
      <c r="S82" s="310">
        <f>IF(OR(I83="L",L82=0),0,1)</f>
        <v>1</v>
      </c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133"/>
      <c r="AT82" s="133"/>
      <c r="AU82" s="133"/>
      <c r="AV82" s="133"/>
      <c r="AW82" s="133"/>
      <c r="AX82" s="133"/>
    </row>
    <row r="83" spans="1:50" s="112" customFormat="1" x14ac:dyDescent="0.2">
      <c r="A83" s="121"/>
      <c r="B83" s="21"/>
      <c r="C83" s="21"/>
      <c r="D83" s="21"/>
      <c r="E83" s="21"/>
      <c r="F83" s="146"/>
      <c r="G83" s="21"/>
      <c r="H83" s="321"/>
      <c r="I83" s="391"/>
      <c r="J83" s="392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133"/>
      <c r="AT83" s="133"/>
      <c r="AU83" s="133"/>
      <c r="AV83" s="133"/>
      <c r="AW83" s="133"/>
      <c r="AX83" s="133"/>
    </row>
    <row r="84" spans="1:50" s="112" customFormat="1" x14ac:dyDescent="0.2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236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133"/>
      <c r="AT84" s="133"/>
      <c r="AU84" s="133"/>
      <c r="AV84" s="133"/>
      <c r="AW84" s="133"/>
      <c r="AX84" s="133"/>
    </row>
    <row r="85" spans="1:50" s="112" customFormat="1" ht="30.75" customHeight="1" x14ac:dyDescent="0.2">
      <c r="A85" s="121"/>
      <c r="B85" s="128">
        <v>1</v>
      </c>
      <c r="C85" s="6">
        <v>21</v>
      </c>
      <c r="D85" s="7">
        <v>4</v>
      </c>
      <c r="E85" s="303">
        <f t="shared" ref="E85:E91" si="21">IF(C85=0," ",IF(C85=0,0,501-D85))</f>
        <v>497</v>
      </c>
      <c r="F85" s="6">
        <v>3</v>
      </c>
      <c r="G85" s="6"/>
      <c r="H85" s="324">
        <f>IF(AND(H82=1,S82=0),1,IF(COUNT(C85:C91)&gt;3,IF(COUNT(D85:D91)=4,0,1),0))</f>
        <v>1</v>
      </c>
      <c r="I85" s="237"/>
      <c r="J85" s="59"/>
      <c r="K85" s="128">
        <v>1</v>
      </c>
      <c r="L85" s="6">
        <v>21</v>
      </c>
      <c r="M85" s="7"/>
      <c r="N85" s="303">
        <f t="shared" ref="N85:N91" si="22">IF(L85=0," ",IF(L85=0,0,501-M85))</f>
        <v>501</v>
      </c>
      <c r="O85" s="6">
        <v>3</v>
      </c>
      <c r="P85" s="162"/>
      <c r="Q85" s="218"/>
      <c r="R85" s="314">
        <f>IF(AND(S82=1,H82=0),1,IF(COUNT(L85:L91)&gt;3,IF(COUNT(M85:M91)=4,0,1),0))</f>
        <v>0</v>
      </c>
      <c r="S85" s="311"/>
      <c r="T85" s="133"/>
      <c r="V85" s="357" t="str">
        <f t="shared" ref="V85:V91" si="23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4">IF(AND(C85=0,L85&gt;0),"toinen TIKAT-sarake tyhjä !",IF(AND(C85&gt;0,L85=0),"toinen TIKAT-sarake tyhjä !",""))</f>
        <v/>
      </c>
      <c r="AE85" s="133"/>
      <c r="AF85" s="133"/>
      <c r="AG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133"/>
      <c r="AT85" s="133"/>
      <c r="AU85" s="133"/>
      <c r="AV85" s="133"/>
      <c r="AW85" s="133"/>
      <c r="AX85" s="133"/>
    </row>
    <row r="86" spans="1:50" s="112" customFormat="1" ht="30.75" customHeight="1" x14ac:dyDescent="0.25">
      <c r="A86" s="399" t="s">
        <v>18</v>
      </c>
      <c r="B86" s="128">
        <v>2</v>
      </c>
      <c r="C86" s="6">
        <v>22</v>
      </c>
      <c r="D86" s="7"/>
      <c r="E86" s="303">
        <f t="shared" si="21"/>
        <v>501</v>
      </c>
      <c r="F86" s="6">
        <v>2</v>
      </c>
      <c r="G86" s="6"/>
      <c r="H86" s="311"/>
      <c r="I86" s="237"/>
      <c r="J86" s="59"/>
      <c r="K86" s="128">
        <v>2</v>
      </c>
      <c r="L86" s="6">
        <v>24</v>
      </c>
      <c r="M86" s="7">
        <v>50</v>
      </c>
      <c r="N86" s="303">
        <f t="shared" si="22"/>
        <v>451</v>
      </c>
      <c r="O86" s="6">
        <v>1</v>
      </c>
      <c r="P86" s="162"/>
      <c r="Q86" s="218"/>
      <c r="R86" s="303"/>
      <c r="S86" s="311"/>
      <c r="T86" s="133"/>
      <c r="U86" s="133"/>
      <c r="V86" s="357" t="str">
        <f t="shared" si="23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4"/>
        <v/>
      </c>
      <c r="AE86" s="133"/>
      <c r="AF86" s="133"/>
      <c r="AG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133"/>
      <c r="AT86" s="133"/>
      <c r="AU86" s="133"/>
      <c r="AV86" s="133"/>
      <c r="AW86" s="133"/>
      <c r="AX86" s="133"/>
    </row>
    <row r="87" spans="1:50" s="112" customFormat="1" ht="30.75" customHeight="1" x14ac:dyDescent="0.25">
      <c r="A87" s="400"/>
      <c r="B87" s="128">
        <v>3</v>
      </c>
      <c r="C87" s="6">
        <v>20</v>
      </c>
      <c r="D87" s="7"/>
      <c r="E87" s="303">
        <f t="shared" si="21"/>
        <v>501</v>
      </c>
      <c r="F87" s="6">
        <v>1</v>
      </c>
      <c r="G87" s="6"/>
      <c r="H87" s="311"/>
      <c r="I87" s="237"/>
      <c r="J87" s="59"/>
      <c r="K87" s="128">
        <v>3</v>
      </c>
      <c r="L87" s="6">
        <v>18</v>
      </c>
      <c r="M87" s="7">
        <v>168</v>
      </c>
      <c r="N87" s="303">
        <f t="shared" si="22"/>
        <v>333</v>
      </c>
      <c r="O87" s="6">
        <v>1</v>
      </c>
      <c r="P87" s="162"/>
      <c r="Q87" s="218"/>
      <c r="R87" s="303"/>
      <c r="S87" s="311"/>
      <c r="T87" s="133"/>
      <c r="U87" s="133"/>
      <c r="V87" s="357" t="str">
        <f t="shared" si="23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4"/>
        <v/>
      </c>
      <c r="AE87" s="133"/>
      <c r="AF87" s="133"/>
      <c r="AG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133"/>
      <c r="AT87" s="133"/>
      <c r="AU87" s="133"/>
      <c r="AV87" s="133"/>
      <c r="AW87" s="133"/>
      <c r="AX87" s="133"/>
    </row>
    <row r="88" spans="1:50" s="112" customFormat="1" ht="30.75" customHeight="1" x14ac:dyDescent="0.25">
      <c r="A88" s="400"/>
      <c r="B88" s="128">
        <v>4</v>
      </c>
      <c r="C88" s="6">
        <v>18</v>
      </c>
      <c r="D88" s="7"/>
      <c r="E88" s="303">
        <f t="shared" si="21"/>
        <v>501</v>
      </c>
      <c r="F88" s="6">
        <v>4</v>
      </c>
      <c r="G88" s="6"/>
      <c r="H88" s="311"/>
      <c r="I88" s="237"/>
      <c r="J88" s="59"/>
      <c r="K88" s="128">
        <v>4</v>
      </c>
      <c r="L88" s="6">
        <v>18</v>
      </c>
      <c r="M88" s="7">
        <v>86</v>
      </c>
      <c r="N88" s="303">
        <f t="shared" si="22"/>
        <v>415</v>
      </c>
      <c r="O88" s="6">
        <v>2</v>
      </c>
      <c r="P88" s="162"/>
      <c r="Q88" s="218"/>
      <c r="R88" s="303"/>
      <c r="S88" s="311"/>
      <c r="T88" s="133"/>
      <c r="U88" s="133"/>
      <c r="V88" s="357" t="str">
        <f t="shared" si="23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4"/>
        <v/>
      </c>
      <c r="AE88" s="133"/>
      <c r="AF88" s="133"/>
      <c r="AG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133"/>
      <c r="AT88" s="133"/>
      <c r="AU88" s="133"/>
      <c r="AV88" s="133"/>
      <c r="AW88" s="133"/>
      <c r="AX88" s="133"/>
    </row>
    <row r="89" spans="1:50" s="112" customFormat="1" ht="30.75" customHeight="1" x14ac:dyDescent="0.25">
      <c r="A89" s="121"/>
      <c r="B89" s="128">
        <v>5</v>
      </c>
      <c r="C89" s="6">
        <v>14</v>
      </c>
      <c r="D89" s="7"/>
      <c r="E89" s="303">
        <f t="shared" si="21"/>
        <v>501</v>
      </c>
      <c r="F89" s="6">
        <v>3</v>
      </c>
      <c r="G89" s="6"/>
      <c r="H89" s="311"/>
      <c r="I89" s="237"/>
      <c r="J89" s="59"/>
      <c r="K89" s="128">
        <v>5</v>
      </c>
      <c r="L89" s="6">
        <v>12</v>
      </c>
      <c r="M89" s="7">
        <v>157</v>
      </c>
      <c r="N89" s="303">
        <f t="shared" si="22"/>
        <v>344</v>
      </c>
      <c r="O89" s="6">
        <v>3</v>
      </c>
      <c r="P89" s="162"/>
      <c r="Q89" s="218"/>
      <c r="R89" s="303"/>
      <c r="S89" s="311"/>
      <c r="T89" s="133"/>
      <c r="U89" s="133"/>
      <c r="V89" s="357" t="str">
        <f t="shared" si="23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4"/>
        <v/>
      </c>
      <c r="AE89" s="133"/>
      <c r="AF89" s="133"/>
      <c r="AG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133"/>
      <c r="AT89" s="133"/>
      <c r="AU89" s="133"/>
      <c r="AV89" s="133"/>
      <c r="AW89" s="133"/>
      <c r="AX89" s="133"/>
    </row>
    <row r="90" spans="1:50" s="112" customFormat="1" ht="30.75" customHeight="1" x14ac:dyDescent="0.25">
      <c r="A90" s="121"/>
      <c r="B90" s="128">
        <v>6</v>
      </c>
      <c r="C90" s="6"/>
      <c r="D90" s="6"/>
      <c r="E90" s="303" t="str">
        <f t="shared" si="21"/>
        <v xml:space="preserve"> </v>
      </c>
      <c r="F90" s="6"/>
      <c r="G90" s="7"/>
      <c r="H90" s="311"/>
      <c r="I90" s="237"/>
      <c r="J90" s="59"/>
      <c r="K90" s="128">
        <v>6</v>
      </c>
      <c r="L90" s="6"/>
      <c r="M90" s="6"/>
      <c r="N90" s="303" t="str">
        <f t="shared" si="22"/>
        <v xml:space="preserve"> </v>
      </c>
      <c r="O90" s="6"/>
      <c r="P90" s="162"/>
      <c r="Q90" s="218"/>
      <c r="R90" s="303"/>
      <c r="S90" s="311"/>
      <c r="T90" s="133"/>
      <c r="U90" s="133"/>
      <c r="V90" s="357" t="str">
        <f t="shared" si="23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4"/>
        <v/>
      </c>
      <c r="AE90" s="133"/>
      <c r="AF90" s="133"/>
      <c r="AG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133"/>
      <c r="AT90" s="133"/>
      <c r="AU90" s="133"/>
      <c r="AV90" s="133"/>
      <c r="AW90" s="133"/>
      <c r="AX90" s="133"/>
    </row>
    <row r="91" spans="1:50" s="112" customFormat="1" ht="30.75" customHeight="1" x14ac:dyDescent="0.25">
      <c r="A91" s="121"/>
      <c r="B91" s="128">
        <v>7</v>
      </c>
      <c r="C91" s="6"/>
      <c r="D91" s="6"/>
      <c r="E91" s="303" t="str">
        <f t="shared" si="21"/>
        <v xml:space="preserve"> </v>
      </c>
      <c r="F91" s="6"/>
      <c r="G91" s="7"/>
      <c r="H91" s="311"/>
      <c r="I91" s="237"/>
      <c r="J91" s="59"/>
      <c r="K91" s="128">
        <v>7</v>
      </c>
      <c r="L91" s="6"/>
      <c r="M91" s="6"/>
      <c r="N91" s="303" t="str">
        <f t="shared" si="22"/>
        <v xml:space="preserve"> </v>
      </c>
      <c r="O91" s="6"/>
      <c r="P91" s="162"/>
      <c r="Q91" s="218"/>
      <c r="R91" s="303"/>
      <c r="S91" s="311"/>
      <c r="T91" s="133"/>
      <c r="U91" s="133"/>
      <c r="V91" s="357" t="str">
        <f t="shared" si="23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4"/>
        <v/>
      </c>
      <c r="AE91" s="133"/>
      <c r="AF91" s="133"/>
      <c r="AG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133"/>
      <c r="AT91" s="133"/>
      <c r="AU91" s="133"/>
      <c r="AV91" s="133"/>
      <c r="AW91" s="133"/>
      <c r="AX91" s="133"/>
    </row>
    <row r="92" spans="1:50" s="112" customFormat="1" ht="17.25" customHeight="1" thickBot="1" x14ac:dyDescent="0.25">
      <c r="A92" s="148"/>
      <c r="B92" s="135"/>
      <c r="C92" s="136">
        <f>COUNTIF(C85:C91,"&gt;0")</f>
        <v>5</v>
      </c>
      <c r="D92" s="136">
        <f>COUNTIF(D85:D91,"&gt;0")</f>
        <v>1</v>
      </c>
      <c r="E92" s="136"/>
      <c r="F92" s="136"/>
      <c r="G92" s="136"/>
      <c r="H92" s="312"/>
      <c r="I92" s="139"/>
      <c r="J92" s="140"/>
      <c r="K92" s="137"/>
      <c r="L92" s="136">
        <f>COUNTIF(L85:L91,"&gt;0")</f>
        <v>5</v>
      </c>
      <c r="M92" s="136">
        <f>COUNTIF(M85:M91,"&gt;0")</f>
        <v>4</v>
      </c>
      <c r="N92" s="136"/>
      <c r="O92" s="152"/>
      <c r="P92" s="156"/>
      <c r="Q92" s="223"/>
      <c r="R92" s="136"/>
      <c r="S92" s="312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133"/>
      <c r="AT92" s="133"/>
      <c r="AU92" s="133"/>
      <c r="AV92" s="133"/>
      <c r="AW92" s="133"/>
      <c r="AX92" s="133"/>
    </row>
    <row r="93" spans="1:50" s="4" customFormat="1" ht="26.25" customHeight="1" thickBot="1" x14ac:dyDescent="0.25">
      <c r="A93" s="5"/>
      <c r="B93" s="4" t="s">
        <v>18</v>
      </c>
      <c r="C93" s="112"/>
      <c r="D93" s="112"/>
      <c r="F93" s="109"/>
      <c r="I93" s="234"/>
      <c r="J93" s="111"/>
      <c r="K93" s="110"/>
      <c r="L93" s="168"/>
      <c r="M93" s="168"/>
      <c r="O93" s="170"/>
      <c r="P93" s="112"/>
      <c r="Q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12"/>
      <c r="AI93" s="133"/>
      <c r="AJ93" s="133"/>
      <c r="AK93" s="133"/>
      <c r="AS93" s="133"/>
      <c r="AT93" s="133"/>
      <c r="AU93" s="133"/>
      <c r="AV93" s="133"/>
      <c r="AW93" s="133"/>
      <c r="AX93" s="133"/>
    </row>
    <row r="94" spans="1:50" s="112" customFormat="1" ht="27.75" customHeight="1" x14ac:dyDescent="0.25">
      <c r="A94" s="113"/>
      <c r="B94" s="114" t="s">
        <v>0</v>
      </c>
      <c r="C94" s="420" t="str">
        <f>C19</f>
        <v>Takkinen Uki</v>
      </c>
      <c r="D94" s="420"/>
      <c r="E94" s="420"/>
      <c r="F94" s="420"/>
      <c r="G94" s="420"/>
      <c r="H94" s="322">
        <f>IF(OR(H95="L",C94=0),0,1)</f>
        <v>1</v>
      </c>
      <c r="I94" s="238"/>
      <c r="J94" s="145"/>
      <c r="K94" s="117" t="s">
        <v>0</v>
      </c>
      <c r="L94" s="420" t="str">
        <f>J19</f>
        <v>Selenius Peter</v>
      </c>
      <c r="M94" s="420"/>
      <c r="N94" s="420"/>
      <c r="O94" s="420"/>
      <c r="P94" s="420"/>
      <c r="Q94" s="420"/>
      <c r="R94" s="420"/>
      <c r="S94" s="310">
        <f>IF(OR(I95="L",L94=0),0,1)</f>
        <v>1</v>
      </c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133"/>
      <c r="AT94" s="133"/>
      <c r="AU94" s="133"/>
      <c r="AV94" s="133"/>
      <c r="AW94" s="133"/>
      <c r="AX94" s="133"/>
    </row>
    <row r="95" spans="1:50" s="112" customFormat="1" x14ac:dyDescent="0.2">
      <c r="A95" s="121"/>
      <c r="B95" s="21"/>
      <c r="C95" s="21"/>
      <c r="D95" s="21"/>
      <c r="E95" s="21"/>
      <c r="F95" s="146"/>
      <c r="G95" s="21"/>
      <c r="H95" s="321"/>
      <c r="I95" s="391"/>
      <c r="J95" s="392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133"/>
      <c r="AT95" s="133"/>
      <c r="AU95" s="133"/>
      <c r="AV95" s="133"/>
      <c r="AW95" s="133"/>
      <c r="AX95" s="133"/>
    </row>
    <row r="96" spans="1:50" s="112" customFormat="1" x14ac:dyDescent="0.2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236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133"/>
      <c r="AT96" s="133"/>
      <c r="AU96" s="133"/>
      <c r="AV96" s="133"/>
      <c r="AW96" s="133"/>
      <c r="AX96" s="133"/>
    </row>
    <row r="97" spans="1:50" s="112" customFormat="1" ht="30" customHeight="1" x14ac:dyDescent="0.2">
      <c r="A97" s="121"/>
      <c r="B97" s="128">
        <v>1</v>
      </c>
      <c r="C97" s="6">
        <v>24</v>
      </c>
      <c r="D97" s="7">
        <v>5</v>
      </c>
      <c r="E97" s="303">
        <f t="shared" ref="E97:E103" si="25">IF(C97=0," ",IF(C97=0,0,501-D97))</f>
        <v>496</v>
      </c>
      <c r="F97" s="6"/>
      <c r="G97" s="6"/>
      <c r="H97" s="324">
        <f>IF(AND(H94=1,S94=0),1,IF(COUNT(C97:C103)&gt;3,IF(COUNT(D97:D103)=4,0,1),0))</f>
        <v>0</v>
      </c>
      <c r="I97" s="237"/>
      <c r="J97" s="59"/>
      <c r="K97" s="128">
        <v>1</v>
      </c>
      <c r="L97" s="6">
        <v>25</v>
      </c>
      <c r="M97" s="7"/>
      <c r="N97" s="303">
        <f t="shared" ref="N97:N103" si="26">IF(L97=0," ",IF(L97=0,0,501-M97))</f>
        <v>501</v>
      </c>
      <c r="O97" s="6">
        <v>1</v>
      </c>
      <c r="P97" s="162"/>
      <c r="Q97" s="218"/>
      <c r="R97" s="314">
        <f>IF(AND(S94=1,H94=0),1,IF(COUNT(L97:L103)&gt;3,IF(COUNT(M97:M103)=4,0,1),0))</f>
        <v>1</v>
      </c>
      <c r="S97" s="311"/>
      <c r="T97" s="133"/>
      <c r="V97" s="357" t="str">
        <f t="shared" ref="V97:V103" si="27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8">IF(AND(C97=0,L97&gt;0),"toinen TIKAT-sarake tyhjä !",IF(AND(C97&gt;0,L97=0),"toinen TIKAT-sarake tyhjä !",""))</f>
        <v/>
      </c>
      <c r="AE97" s="133"/>
      <c r="AF97" s="133"/>
      <c r="AG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133"/>
      <c r="AT97" s="133"/>
      <c r="AU97" s="133"/>
      <c r="AV97" s="133"/>
      <c r="AW97" s="133"/>
      <c r="AX97" s="133"/>
    </row>
    <row r="98" spans="1:50" s="112" customFormat="1" ht="30" customHeight="1" x14ac:dyDescent="0.25">
      <c r="A98" s="399" t="s">
        <v>19</v>
      </c>
      <c r="B98" s="128">
        <v>2</v>
      </c>
      <c r="C98" s="6">
        <v>21</v>
      </c>
      <c r="D98" s="7">
        <v>20</v>
      </c>
      <c r="E98" s="303">
        <f t="shared" si="25"/>
        <v>481</v>
      </c>
      <c r="F98" s="6">
        <v>1</v>
      </c>
      <c r="G98" s="6"/>
      <c r="H98" s="311"/>
      <c r="I98" s="237"/>
      <c r="J98" s="59"/>
      <c r="K98" s="128">
        <v>2</v>
      </c>
      <c r="L98" s="6">
        <v>20</v>
      </c>
      <c r="M98" s="7"/>
      <c r="N98" s="303">
        <f t="shared" si="26"/>
        <v>501</v>
      </c>
      <c r="O98" s="6">
        <v>2</v>
      </c>
      <c r="P98" s="162"/>
      <c r="Q98" s="218"/>
      <c r="R98" s="303"/>
      <c r="S98" s="311"/>
      <c r="T98" s="133"/>
      <c r="U98" s="133"/>
      <c r="V98" s="357" t="str">
        <f t="shared" si="27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8"/>
        <v/>
      </c>
      <c r="AE98" s="133"/>
      <c r="AF98" s="133"/>
      <c r="AG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133"/>
      <c r="AT98" s="133"/>
      <c r="AU98" s="133"/>
      <c r="AV98" s="133"/>
      <c r="AW98" s="133"/>
      <c r="AX98" s="133"/>
    </row>
    <row r="99" spans="1:50" s="112" customFormat="1" ht="30" customHeight="1" x14ac:dyDescent="0.25">
      <c r="A99" s="400"/>
      <c r="B99" s="128">
        <v>3</v>
      </c>
      <c r="C99" s="6">
        <v>21</v>
      </c>
      <c r="D99" s="7">
        <v>16</v>
      </c>
      <c r="E99" s="303">
        <f t="shared" si="25"/>
        <v>485</v>
      </c>
      <c r="F99" s="6">
        <v>1</v>
      </c>
      <c r="G99" s="6"/>
      <c r="H99" s="311"/>
      <c r="I99" s="237"/>
      <c r="J99" s="59"/>
      <c r="K99" s="128">
        <v>3</v>
      </c>
      <c r="L99" s="6">
        <v>24</v>
      </c>
      <c r="M99" s="7"/>
      <c r="N99" s="303">
        <f t="shared" si="26"/>
        <v>501</v>
      </c>
      <c r="O99" s="6">
        <v>1</v>
      </c>
      <c r="P99" s="162"/>
      <c r="Q99" s="218"/>
      <c r="R99" s="303"/>
      <c r="S99" s="311"/>
      <c r="T99" s="133"/>
      <c r="U99" s="133"/>
      <c r="V99" s="357" t="str">
        <f t="shared" si="27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8"/>
        <v/>
      </c>
      <c r="AE99" s="133"/>
      <c r="AF99" s="133"/>
      <c r="AG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133"/>
      <c r="AT99" s="133"/>
      <c r="AU99" s="133"/>
      <c r="AV99" s="133"/>
      <c r="AW99" s="133"/>
      <c r="AX99" s="133"/>
    </row>
    <row r="100" spans="1:50" s="112" customFormat="1" ht="30" customHeight="1" x14ac:dyDescent="0.25">
      <c r="A100" s="400"/>
      <c r="B100" s="128">
        <v>4</v>
      </c>
      <c r="C100" s="6">
        <v>21</v>
      </c>
      <c r="D100" s="7">
        <v>10</v>
      </c>
      <c r="E100" s="303">
        <f t="shared" si="25"/>
        <v>491</v>
      </c>
      <c r="F100" s="6">
        <v>2</v>
      </c>
      <c r="G100" s="6"/>
      <c r="H100" s="311"/>
      <c r="I100" s="237"/>
      <c r="J100" s="59"/>
      <c r="K100" s="128">
        <v>4</v>
      </c>
      <c r="L100" s="6">
        <v>21</v>
      </c>
      <c r="M100" s="7"/>
      <c r="N100" s="303">
        <f t="shared" si="26"/>
        <v>501</v>
      </c>
      <c r="O100" s="6">
        <v>2</v>
      </c>
      <c r="P100" s="162"/>
      <c r="Q100" s="218"/>
      <c r="R100" s="303"/>
      <c r="S100" s="311"/>
      <c r="T100" s="133"/>
      <c r="U100" s="133"/>
      <c r="V100" s="357" t="str">
        <f t="shared" si="27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8"/>
        <v/>
      </c>
      <c r="AE100" s="133"/>
      <c r="AF100" s="133"/>
      <c r="AG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133"/>
      <c r="AT100" s="133"/>
      <c r="AU100" s="133"/>
      <c r="AV100" s="133"/>
      <c r="AW100" s="133"/>
      <c r="AX100" s="133"/>
    </row>
    <row r="101" spans="1:50" s="112" customFormat="1" ht="30" customHeight="1" x14ac:dyDescent="0.25">
      <c r="A101" s="121"/>
      <c r="B101" s="128">
        <v>5</v>
      </c>
      <c r="C101" s="6"/>
      <c r="D101" s="7"/>
      <c r="E101" s="303" t="str">
        <f t="shared" si="25"/>
        <v xml:space="preserve"> </v>
      </c>
      <c r="F101" s="6"/>
      <c r="G101" s="6"/>
      <c r="H101" s="311"/>
      <c r="I101" s="237"/>
      <c r="J101" s="59"/>
      <c r="K101" s="128">
        <v>5</v>
      </c>
      <c r="L101" s="6"/>
      <c r="M101" s="7"/>
      <c r="N101" s="303" t="str">
        <f t="shared" si="26"/>
        <v xml:space="preserve"> </v>
      </c>
      <c r="O101" s="6"/>
      <c r="P101" s="162"/>
      <c r="Q101" s="218"/>
      <c r="R101" s="303"/>
      <c r="S101" s="311"/>
      <c r="T101" s="133"/>
      <c r="U101" s="133"/>
      <c r="V101" s="357" t="str">
        <f t="shared" si="27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8"/>
        <v/>
      </c>
      <c r="AE101" s="133"/>
      <c r="AF101" s="133"/>
      <c r="AG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133"/>
      <c r="AT101" s="133"/>
      <c r="AU101" s="133"/>
      <c r="AV101" s="133"/>
      <c r="AW101" s="133"/>
      <c r="AX101" s="133"/>
    </row>
    <row r="102" spans="1:50" s="112" customFormat="1" ht="30" customHeight="1" x14ac:dyDescent="0.25">
      <c r="A102" s="121"/>
      <c r="B102" s="128">
        <v>6</v>
      </c>
      <c r="C102" s="6"/>
      <c r="D102" s="6"/>
      <c r="E102" s="303" t="str">
        <f t="shared" si="25"/>
        <v xml:space="preserve"> </v>
      </c>
      <c r="F102" s="6"/>
      <c r="G102" s="7"/>
      <c r="H102" s="311"/>
      <c r="I102" s="237"/>
      <c r="J102" s="59"/>
      <c r="K102" s="128">
        <v>6</v>
      </c>
      <c r="L102" s="6"/>
      <c r="M102" s="6"/>
      <c r="N102" s="303" t="str">
        <f t="shared" si="26"/>
        <v xml:space="preserve"> </v>
      </c>
      <c r="O102" s="6"/>
      <c r="P102" s="162"/>
      <c r="Q102" s="218"/>
      <c r="R102" s="303"/>
      <c r="S102" s="311"/>
      <c r="T102" s="133"/>
      <c r="U102" s="133"/>
      <c r="V102" s="357" t="str">
        <f t="shared" si="27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8"/>
        <v/>
      </c>
      <c r="AE102" s="133"/>
      <c r="AF102" s="133"/>
      <c r="AG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133"/>
      <c r="AT102" s="133"/>
      <c r="AU102" s="133"/>
      <c r="AV102" s="133"/>
      <c r="AW102" s="133"/>
      <c r="AX102" s="133"/>
    </row>
    <row r="103" spans="1:50" s="112" customFormat="1" ht="30" customHeight="1" x14ac:dyDescent="0.25">
      <c r="A103" s="121"/>
      <c r="B103" s="128">
        <v>7</v>
      </c>
      <c r="C103" s="6"/>
      <c r="D103" s="6"/>
      <c r="E103" s="303" t="str">
        <f t="shared" si="25"/>
        <v xml:space="preserve"> </v>
      </c>
      <c r="F103" s="6"/>
      <c r="G103" s="7"/>
      <c r="H103" s="311"/>
      <c r="I103" s="237"/>
      <c r="J103" s="59"/>
      <c r="K103" s="128">
        <v>7</v>
      </c>
      <c r="L103" s="6"/>
      <c r="M103" s="6"/>
      <c r="N103" s="303" t="str">
        <f t="shared" si="26"/>
        <v xml:space="preserve"> </v>
      </c>
      <c r="O103" s="6"/>
      <c r="P103" s="162"/>
      <c r="Q103" s="218"/>
      <c r="R103" s="303"/>
      <c r="S103" s="311"/>
      <c r="T103" s="133"/>
      <c r="U103" s="133"/>
      <c r="V103" s="357" t="str">
        <f t="shared" si="27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8"/>
        <v/>
      </c>
      <c r="AE103" s="133"/>
      <c r="AF103" s="133"/>
      <c r="AG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133"/>
      <c r="AT103" s="133"/>
      <c r="AU103" s="133"/>
      <c r="AV103" s="133"/>
      <c r="AW103" s="133"/>
      <c r="AX103" s="133"/>
    </row>
    <row r="104" spans="1:50" s="112" customFormat="1" ht="17.25" customHeight="1" thickBot="1" x14ac:dyDescent="0.25">
      <c r="A104" s="148"/>
      <c r="B104" s="135"/>
      <c r="C104" s="136">
        <f>COUNTIF(C97:C103,"&gt;0")</f>
        <v>4</v>
      </c>
      <c r="D104" s="136">
        <f>COUNTIF(D97:D103,"&gt;0")</f>
        <v>4</v>
      </c>
      <c r="E104" s="136"/>
      <c r="F104" s="136"/>
      <c r="G104" s="136"/>
      <c r="H104" s="312"/>
      <c r="I104" s="139"/>
      <c r="J104" s="140"/>
      <c r="K104" s="137"/>
      <c r="L104" s="136">
        <f>COUNTIF(L97:L103,"&gt;0")</f>
        <v>4</v>
      </c>
      <c r="M104" s="136">
        <f>COUNTIF(M97:M103,"&gt;0")</f>
        <v>0</v>
      </c>
      <c r="N104" s="152"/>
      <c r="O104" s="152"/>
      <c r="P104" s="156"/>
      <c r="Q104" s="223"/>
      <c r="R104" s="136"/>
      <c r="S104" s="312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133"/>
      <c r="AT104" s="133"/>
      <c r="AU104" s="133"/>
      <c r="AV104" s="133"/>
      <c r="AW104" s="133"/>
      <c r="AX104" s="133"/>
    </row>
    <row r="105" spans="1:50" s="4" customFormat="1" ht="25.5" customHeight="1" thickBot="1" x14ac:dyDescent="0.25">
      <c r="A105" s="5"/>
      <c r="B105" s="4" t="s">
        <v>19</v>
      </c>
      <c r="C105" s="112"/>
      <c r="D105" s="112"/>
      <c r="F105" s="109"/>
      <c r="I105" s="234"/>
      <c r="J105" s="111"/>
      <c r="K105" s="110"/>
      <c r="L105" s="168"/>
      <c r="M105" s="168"/>
      <c r="O105" s="170"/>
      <c r="P105" s="112"/>
      <c r="Q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12"/>
      <c r="AI105" s="133"/>
      <c r="AJ105" s="133"/>
      <c r="AK105" s="133"/>
      <c r="AS105" s="133"/>
      <c r="AT105" s="133"/>
      <c r="AU105" s="133"/>
      <c r="AV105" s="133"/>
      <c r="AW105" s="133"/>
      <c r="AX105" s="133"/>
    </row>
    <row r="106" spans="1:50" s="112" customFormat="1" ht="28.5" customHeight="1" x14ac:dyDescent="0.25">
      <c r="A106" s="113"/>
      <c r="B106" s="114" t="s">
        <v>0</v>
      </c>
      <c r="C106" s="420" t="str">
        <f>C20</f>
        <v>Hyttinen Pasi</v>
      </c>
      <c r="D106" s="420"/>
      <c r="E106" s="420"/>
      <c r="F106" s="420"/>
      <c r="G106" s="420"/>
      <c r="H106" s="322">
        <f>IF(OR(H107="L",C106=0),0,1)</f>
        <v>1</v>
      </c>
      <c r="I106" s="238"/>
      <c r="J106" s="145"/>
      <c r="K106" s="117" t="s">
        <v>0</v>
      </c>
      <c r="L106" s="420" t="str">
        <f>J20</f>
        <v>Högström Sami</v>
      </c>
      <c r="M106" s="420"/>
      <c r="N106" s="420"/>
      <c r="O106" s="420"/>
      <c r="P106" s="420"/>
      <c r="Q106" s="420"/>
      <c r="R106" s="420"/>
      <c r="S106" s="310">
        <f>IF(OR(I107="L",L106=0),0,1)</f>
        <v>1</v>
      </c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133"/>
      <c r="AT106" s="133"/>
      <c r="AU106" s="133"/>
      <c r="AV106" s="133"/>
      <c r="AW106" s="133"/>
      <c r="AX106" s="133"/>
    </row>
    <row r="107" spans="1:50" s="112" customFormat="1" x14ac:dyDescent="0.2">
      <c r="A107" s="121"/>
      <c r="B107" s="21"/>
      <c r="C107" s="21"/>
      <c r="D107" s="21"/>
      <c r="E107" s="21"/>
      <c r="F107" s="146"/>
      <c r="G107" s="21"/>
      <c r="H107" s="321"/>
      <c r="I107" s="391"/>
      <c r="J107" s="392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133"/>
      <c r="AT107" s="133"/>
      <c r="AU107" s="133"/>
      <c r="AV107" s="133"/>
      <c r="AW107" s="133"/>
      <c r="AX107" s="133"/>
    </row>
    <row r="108" spans="1:50" s="112" customFormat="1" x14ac:dyDescent="0.2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236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133"/>
      <c r="AT108" s="133"/>
      <c r="AU108" s="133"/>
      <c r="AV108" s="133"/>
      <c r="AW108" s="133"/>
      <c r="AX108" s="133"/>
    </row>
    <row r="109" spans="1:50" s="112" customFormat="1" ht="30" customHeight="1" x14ac:dyDescent="0.2">
      <c r="A109" s="121"/>
      <c r="B109" s="128">
        <v>1</v>
      </c>
      <c r="C109" s="6">
        <v>21</v>
      </c>
      <c r="D109" s="7">
        <v>146</v>
      </c>
      <c r="E109" s="303">
        <f t="shared" ref="E109:E115" si="29">IF(C109=0," ",IF(C109=0,0,501-D109))</f>
        <v>355</v>
      </c>
      <c r="F109" s="6"/>
      <c r="G109" s="6"/>
      <c r="H109" s="324">
        <f>IF(AND(H106=1,S106=0),1,IF(COUNT(C109:C115)&gt;3,IF(COUNT(D109:D115)=4,0,1),0))</f>
        <v>0</v>
      </c>
      <c r="I109" s="237"/>
      <c r="J109" s="59"/>
      <c r="K109" s="128">
        <v>1</v>
      </c>
      <c r="L109" s="6">
        <v>21</v>
      </c>
      <c r="M109" s="7"/>
      <c r="N109" s="303">
        <f t="shared" ref="N109:N115" si="30">IF(L109=0," ",IF(L109=0,0,501-M109))</f>
        <v>501</v>
      </c>
      <c r="O109" s="6">
        <v>3</v>
      </c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357" t="str">
        <f t="shared" ref="V109:V115" si="31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2">IF(AND(C109=0,L109&gt;0),"toinen TIKAT-sarake tyhjä !",IF(AND(C109&gt;0,L109=0),"toinen TIKAT-sarake tyhjä !",""))</f>
        <v/>
      </c>
      <c r="AE109" s="133"/>
      <c r="AF109" s="133"/>
      <c r="AG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133"/>
      <c r="AT109" s="133"/>
      <c r="AU109" s="133"/>
      <c r="AV109" s="133"/>
      <c r="AW109" s="133"/>
      <c r="AX109" s="133"/>
    </row>
    <row r="110" spans="1:50" s="112" customFormat="1" ht="30" customHeight="1" x14ac:dyDescent="0.25">
      <c r="A110" s="399" t="s">
        <v>20</v>
      </c>
      <c r="B110" s="128">
        <v>2</v>
      </c>
      <c r="C110" s="6">
        <v>24</v>
      </c>
      <c r="D110" s="7">
        <v>4</v>
      </c>
      <c r="E110" s="303">
        <f t="shared" si="29"/>
        <v>497</v>
      </c>
      <c r="F110" s="6">
        <v>1</v>
      </c>
      <c r="G110" s="6">
        <v>1</v>
      </c>
      <c r="H110" s="311"/>
      <c r="I110" s="237"/>
      <c r="J110" s="59"/>
      <c r="K110" s="128">
        <v>2</v>
      </c>
      <c r="L110" s="6">
        <v>27</v>
      </c>
      <c r="M110" s="7"/>
      <c r="N110" s="303">
        <f t="shared" si="30"/>
        <v>501</v>
      </c>
      <c r="O110" s="6">
        <v>1</v>
      </c>
      <c r="P110" s="162"/>
      <c r="Q110" s="218"/>
      <c r="R110" s="303"/>
      <c r="S110" s="311"/>
      <c r="T110" s="133"/>
      <c r="U110" s="133"/>
      <c r="V110" s="357" t="str">
        <f t="shared" si="31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2"/>
        <v/>
      </c>
      <c r="AE110" s="133"/>
      <c r="AF110" s="133"/>
      <c r="AG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133"/>
      <c r="AT110" s="133"/>
      <c r="AU110" s="133"/>
      <c r="AV110" s="133"/>
      <c r="AW110" s="133"/>
      <c r="AX110" s="133"/>
    </row>
    <row r="111" spans="1:50" s="112" customFormat="1" ht="30" customHeight="1" x14ac:dyDescent="0.25">
      <c r="A111" s="400"/>
      <c r="B111" s="128">
        <v>3</v>
      </c>
      <c r="C111" s="6">
        <v>21</v>
      </c>
      <c r="D111" s="7"/>
      <c r="E111" s="303">
        <f t="shared" si="29"/>
        <v>501</v>
      </c>
      <c r="F111" s="6">
        <v>2</v>
      </c>
      <c r="G111" s="6"/>
      <c r="H111" s="311"/>
      <c r="I111" s="237"/>
      <c r="J111" s="59"/>
      <c r="K111" s="128">
        <v>3</v>
      </c>
      <c r="L111" s="6">
        <v>18</v>
      </c>
      <c r="M111" s="7">
        <v>95</v>
      </c>
      <c r="N111" s="303">
        <f t="shared" si="30"/>
        <v>406</v>
      </c>
      <c r="O111" s="6">
        <v>1</v>
      </c>
      <c r="P111" s="162"/>
      <c r="Q111" s="218"/>
      <c r="R111" s="303"/>
      <c r="S111" s="311"/>
      <c r="T111" s="133"/>
      <c r="U111" s="133"/>
      <c r="V111" s="357" t="str">
        <f t="shared" si="31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2"/>
        <v/>
      </c>
      <c r="AE111" s="133"/>
      <c r="AF111" s="133"/>
      <c r="AG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133"/>
      <c r="AT111" s="133"/>
      <c r="AU111" s="133"/>
      <c r="AV111" s="133"/>
      <c r="AW111" s="133"/>
      <c r="AX111" s="133"/>
    </row>
    <row r="112" spans="1:50" s="112" customFormat="1" ht="30" customHeight="1" x14ac:dyDescent="0.25">
      <c r="A112" s="400"/>
      <c r="B112" s="128">
        <v>4</v>
      </c>
      <c r="C112" s="6">
        <v>15</v>
      </c>
      <c r="D112" s="7">
        <v>114</v>
      </c>
      <c r="E112" s="303">
        <f t="shared" si="29"/>
        <v>387</v>
      </c>
      <c r="F112" s="6">
        <v>2</v>
      </c>
      <c r="G112" s="6"/>
      <c r="H112" s="311"/>
      <c r="I112" s="237"/>
      <c r="J112" s="59"/>
      <c r="K112" s="128">
        <v>4</v>
      </c>
      <c r="L112" s="6">
        <v>16</v>
      </c>
      <c r="M112" s="7"/>
      <c r="N112" s="303">
        <f t="shared" si="30"/>
        <v>501</v>
      </c>
      <c r="O112" s="6">
        <v>2</v>
      </c>
      <c r="P112" s="162">
        <v>1</v>
      </c>
      <c r="Q112" s="218"/>
      <c r="R112" s="303"/>
      <c r="S112" s="311"/>
      <c r="T112" s="133"/>
      <c r="U112" s="133"/>
      <c r="V112" s="357" t="str">
        <f t="shared" si="31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2"/>
        <v/>
      </c>
      <c r="AE112" s="133"/>
      <c r="AF112" s="133"/>
      <c r="AG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133"/>
      <c r="AT112" s="133"/>
      <c r="AU112" s="133"/>
      <c r="AV112" s="133"/>
      <c r="AW112" s="133"/>
      <c r="AX112" s="133"/>
    </row>
    <row r="113" spans="1:50" s="112" customFormat="1" ht="30" customHeight="1" x14ac:dyDescent="0.25">
      <c r="A113" s="121"/>
      <c r="B113" s="128">
        <v>5</v>
      </c>
      <c r="C113" s="6">
        <v>21</v>
      </c>
      <c r="D113" s="7"/>
      <c r="E113" s="303">
        <f t="shared" si="29"/>
        <v>501</v>
      </c>
      <c r="F113" s="6">
        <v>1</v>
      </c>
      <c r="G113" s="6"/>
      <c r="H113" s="311"/>
      <c r="I113" s="237"/>
      <c r="J113" s="59"/>
      <c r="K113" s="128">
        <v>5</v>
      </c>
      <c r="L113" s="6">
        <v>18</v>
      </c>
      <c r="M113" s="7">
        <v>88</v>
      </c>
      <c r="N113" s="303">
        <f t="shared" si="30"/>
        <v>413</v>
      </c>
      <c r="O113" s="6">
        <v>1</v>
      </c>
      <c r="P113" s="162"/>
      <c r="Q113" s="218"/>
      <c r="R113" s="303"/>
      <c r="S113" s="311"/>
      <c r="T113" s="133"/>
      <c r="U113" s="133"/>
      <c r="V113" s="357" t="str">
        <f t="shared" si="31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2"/>
        <v/>
      </c>
      <c r="AE113" s="133"/>
      <c r="AF113" s="133"/>
      <c r="AG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133"/>
      <c r="AT113" s="133"/>
      <c r="AU113" s="133"/>
      <c r="AV113" s="133"/>
      <c r="AW113" s="133"/>
      <c r="AX113" s="133"/>
    </row>
    <row r="114" spans="1:50" s="112" customFormat="1" ht="30" customHeight="1" x14ac:dyDescent="0.25">
      <c r="A114" s="21"/>
      <c r="B114" s="128">
        <v>6</v>
      </c>
      <c r="C114" s="6">
        <v>15</v>
      </c>
      <c r="D114" s="6">
        <v>94</v>
      </c>
      <c r="E114" s="303">
        <f t="shared" si="29"/>
        <v>407</v>
      </c>
      <c r="F114" s="6">
        <v>2</v>
      </c>
      <c r="G114" s="7"/>
      <c r="H114" s="311"/>
      <c r="I114" s="237"/>
      <c r="J114" s="59"/>
      <c r="K114" s="128">
        <v>6</v>
      </c>
      <c r="L114" s="6">
        <v>17</v>
      </c>
      <c r="M114" s="6"/>
      <c r="N114" s="303">
        <f t="shared" si="30"/>
        <v>501</v>
      </c>
      <c r="O114" s="6">
        <v>3</v>
      </c>
      <c r="P114" s="162"/>
      <c r="Q114" s="218"/>
      <c r="R114" s="303"/>
      <c r="S114" s="311"/>
      <c r="T114" s="133"/>
      <c r="U114" s="133"/>
      <c r="V114" s="357" t="str">
        <f t="shared" si="31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2"/>
        <v/>
      </c>
      <c r="AE114" s="133"/>
      <c r="AF114" s="133"/>
      <c r="AG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133"/>
      <c r="AT114" s="133"/>
      <c r="AU114" s="133"/>
      <c r="AV114" s="133"/>
      <c r="AW114" s="133"/>
      <c r="AX114" s="133"/>
    </row>
    <row r="115" spans="1:50" s="112" customFormat="1" ht="30" customHeight="1" x14ac:dyDescent="0.25">
      <c r="A115" s="21"/>
      <c r="B115" s="128">
        <v>7</v>
      </c>
      <c r="C115" s="6"/>
      <c r="D115" s="6"/>
      <c r="E115" s="303" t="str">
        <f t="shared" si="29"/>
        <v xml:space="preserve"> </v>
      </c>
      <c r="F115" s="6"/>
      <c r="G115" s="7"/>
      <c r="H115" s="311"/>
      <c r="I115" s="237"/>
      <c r="J115" s="59"/>
      <c r="K115" s="128">
        <v>7</v>
      </c>
      <c r="L115" s="6"/>
      <c r="M115" s="6"/>
      <c r="N115" s="303" t="str">
        <f t="shared" si="30"/>
        <v xml:space="preserve"> </v>
      </c>
      <c r="O115" s="6"/>
      <c r="P115" s="162"/>
      <c r="Q115" s="218"/>
      <c r="R115" s="303"/>
      <c r="S115" s="311"/>
      <c r="T115" s="133"/>
      <c r="U115" s="133"/>
      <c r="V115" s="357" t="str">
        <f t="shared" si="31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2"/>
        <v/>
      </c>
      <c r="AE115" s="133"/>
      <c r="AF115" s="133"/>
      <c r="AG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133"/>
      <c r="AT115" s="133"/>
      <c r="AU115" s="133"/>
      <c r="AV115" s="133"/>
      <c r="AW115" s="133"/>
      <c r="AX115" s="133"/>
    </row>
    <row r="116" spans="1:50" s="112" customFormat="1" ht="16.5" customHeight="1" thickBot="1" x14ac:dyDescent="0.25">
      <c r="A116" s="137" t="s">
        <v>20</v>
      </c>
      <c r="B116" s="135"/>
      <c r="C116" s="136">
        <f>COUNTIF(C109:C115,"&gt;0")</f>
        <v>6</v>
      </c>
      <c r="D116" s="136">
        <f>COUNTIF(D109:D115,"&gt;0")</f>
        <v>4</v>
      </c>
      <c r="E116" s="137"/>
      <c r="F116" s="138"/>
      <c r="G116" s="137"/>
      <c r="H116" s="312"/>
      <c r="I116" s="139"/>
      <c r="J116" s="140"/>
      <c r="K116" s="140"/>
      <c r="L116" s="136">
        <f>COUNTIF(L109:L115,"&gt;0")</f>
        <v>6</v>
      </c>
      <c r="M116" s="136">
        <f>COUNTIF(M109:M115,"&gt;0")</f>
        <v>2</v>
      </c>
      <c r="N116" s="137"/>
      <c r="O116" s="141"/>
      <c r="P116" s="135"/>
      <c r="Q116" s="216"/>
      <c r="R116" s="137"/>
      <c r="S116" s="312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133"/>
      <c r="AT116" s="133"/>
      <c r="AU116" s="133"/>
      <c r="AV116" s="133"/>
      <c r="AW116" s="133"/>
      <c r="AX116" s="133"/>
    </row>
    <row r="117" spans="1:50" s="4" customFormat="1" ht="25.5" customHeight="1" thickBot="1" x14ac:dyDescent="0.25">
      <c r="A117" s="5"/>
      <c r="C117" s="112"/>
      <c r="D117" s="112"/>
      <c r="F117" s="109"/>
      <c r="I117" s="234"/>
      <c r="J117" s="111"/>
      <c r="K117" s="110"/>
      <c r="L117" s="168"/>
      <c r="M117" s="168"/>
      <c r="O117" s="170"/>
      <c r="P117" s="112"/>
      <c r="Q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12"/>
      <c r="AI117" s="133"/>
      <c r="AJ117" s="133"/>
      <c r="AK117" s="133"/>
      <c r="AS117" s="133"/>
      <c r="AT117" s="133"/>
      <c r="AU117" s="133"/>
      <c r="AV117" s="133"/>
      <c r="AW117" s="133"/>
      <c r="AX117" s="133"/>
    </row>
    <row r="118" spans="1:50" s="112" customFormat="1" ht="29.25" customHeight="1" x14ac:dyDescent="0.25">
      <c r="A118" s="113"/>
      <c r="B118" s="114" t="s">
        <v>0</v>
      </c>
      <c r="C118" s="420" t="str">
        <f>C21</f>
        <v>Viinikka Veijo</v>
      </c>
      <c r="D118" s="420"/>
      <c r="E118" s="420"/>
      <c r="F118" s="420"/>
      <c r="G118" s="420"/>
      <c r="H118" s="322">
        <f>IF(OR(H119="L",C118=0),0,1)</f>
        <v>1</v>
      </c>
      <c r="I118" s="238"/>
      <c r="J118" s="145"/>
      <c r="K118" s="117" t="s">
        <v>0</v>
      </c>
      <c r="L118" s="420" t="str">
        <f>J21</f>
        <v>Ek Matti</v>
      </c>
      <c r="M118" s="420"/>
      <c r="N118" s="420"/>
      <c r="O118" s="420"/>
      <c r="P118" s="420"/>
      <c r="Q118" s="420"/>
      <c r="R118" s="420"/>
      <c r="S118" s="310">
        <f>IF(OR(I119="L",L118=0),0,1)</f>
        <v>1</v>
      </c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133"/>
      <c r="AT118" s="133"/>
      <c r="AU118" s="133"/>
      <c r="AV118" s="133"/>
      <c r="AW118" s="133"/>
      <c r="AX118" s="133"/>
    </row>
    <row r="119" spans="1:50" s="112" customFormat="1" x14ac:dyDescent="0.2">
      <c r="A119" s="121"/>
      <c r="B119" s="21"/>
      <c r="C119" s="21"/>
      <c r="D119" s="21"/>
      <c r="E119" s="21"/>
      <c r="F119" s="146"/>
      <c r="G119" s="21"/>
      <c r="H119" s="321"/>
      <c r="I119" s="391"/>
      <c r="J119" s="392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133"/>
      <c r="AT119" s="133"/>
      <c r="AU119" s="133"/>
      <c r="AV119" s="133"/>
      <c r="AW119" s="133"/>
      <c r="AX119" s="133"/>
    </row>
    <row r="120" spans="1:50" s="112" customFormat="1" x14ac:dyDescent="0.2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236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133"/>
      <c r="AT120" s="133"/>
      <c r="AU120" s="133"/>
      <c r="AV120" s="133"/>
      <c r="AW120" s="133"/>
      <c r="AX120" s="133"/>
    </row>
    <row r="121" spans="1:50" s="112" customFormat="1" ht="30" customHeight="1" x14ac:dyDescent="0.2">
      <c r="A121" s="121"/>
      <c r="B121" s="128">
        <v>1</v>
      </c>
      <c r="C121" s="6">
        <v>13</v>
      </c>
      <c r="D121" s="7"/>
      <c r="E121" s="303">
        <f t="shared" ref="E121:E127" si="33">IF(C121=0," ",IF(C121=0,0,501-D121))</f>
        <v>501</v>
      </c>
      <c r="F121" s="6">
        <v>3</v>
      </c>
      <c r="G121" s="6">
        <v>1</v>
      </c>
      <c r="H121" s="324">
        <f>IF(AND(H118=1,S118=0),1,IF(COUNT(C121:C127)&gt;3,IF(COUNT(D121:D127)=4,0,1),0))</f>
        <v>1</v>
      </c>
      <c r="I121" s="237"/>
      <c r="J121" s="59"/>
      <c r="K121" s="128">
        <v>1</v>
      </c>
      <c r="L121" s="6">
        <v>15</v>
      </c>
      <c r="M121" s="7">
        <v>250</v>
      </c>
      <c r="N121" s="303">
        <f t="shared" ref="N121:N127" si="34">IF(L121=0," ",IF(L121=0,0,501-M121))</f>
        <v>251</v>
      </c>
      <c r="O121" s="7"/>
      <c r="P121" s="273"/>
      <c r="Q121" s="218"/>
      <c r="R121" s="314">
        <f>IF(AND(S118=1,H118=0),1,IF(COUNT(L121:L127)&gt;3,IF(COUNT(M121:M127)=4,0,1),0))</f>
        <v>0</v>
      </c>
      <c r="S121" s="311"/>
      <c r="T121" s="133"/>
      <c r="V121" s="357" t="str">
        <f t="shared" ref="V121:V127" si="35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6">IF(AND(C121=0,L121&gt;0),"toinen TIKAT-sarake tyhjä !",IF(AND(C121&gt;0,L121=0),"toinen TIKAT-sarake tyhjä !",""))</f>
        <v/>
      </c>
      <c r="AE121" s="133"/>
      <c r="AF121" s="133"/>
      <c r="AG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133"/>
      <c r="AT121" s="133"/>
      <c r="AU121" s="133"/>
      <c r="AV121" s="133"/>
      <c r="AW121" s="133"/>
      <c r="AX121" s="133"/>
    </row>
    <row r="122" spans="1:50" s="112" customFormat="1" ht="30" customHeight="1" x14ac:dyDescent="0.25">
      <c r="A122" s="399" t="s">
        <v>21</v>
      </c>
      <c r="B122" s="128">
        <v>2</v>
      </c>
      <c r="C122" s="6">
        <v>19</v>
      </c>
      <c r="D122" s="7"/>
      <c r="E122" s="303">
        <f t="shared" si="33"/>
        <v>501</v>
      </c>
      <c r="F122" s="6">
        <v>2</v>
      </c>
      <c r="G122" s="6"/>
      <c r="H122" s="311"/>
      <c r="I122" s="237"/>
      <c r="J122" s="59"/>
      <c r="K122" s="128">
        <v>2</v>
      </c>
      <c r="L122" s="6">
        <v>18</v>
      </c>
      <c r="M122" s="7">
        <v>125</v>
      </c>
      <c r="N122" s="303">
        <f t="shared" si="34"/>
        <v>376</v>
      </c>
      <c r="O122" s="7">
        <v>1</v>
      </c>
      <c r="P122" s="273"/>
      <c r="Q122" s="218"/>
      <c r="R122" s="303"/>
      <c r="S122" s="311"/>
      <c r="T122" s="133"/>
      <c r="U122" s="133"/>
      <c r="V122" s="357" t="str">
        <f t="shared" si="35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6"/>
        <v/>
      </c>
      <c r="AE122" s="133"/>
      <c r="AF122" s="133"/>
      <c r="AG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133"/>
      <c r="AT122" s="133"/>
      <c r="AU122" s="133"/>
      <c r="AV122" s="133"/>
      <c r="AW122" s="133"/>
      <c r="AX122" s="133"/>
    </row>
    <row r="123" spans="1:50" s="112" customFormat="1" ht="30" customHeight="1" x14ac:dyDescent="0.25">
      <c r="A123" s="400"/>
      <c r="B123" s="128">
        <v>3</v>
      </c>
      <c r="C123" s="6">
        <v>27</v>
      </c>
      <c r="D123" s="7"/>
      <c r="E123" s="303">
        <f t="shared" si="33"/>
        <v>501</v>
      </c>
      <c r="F123" s="6">
        <v>2</v>
      </c>
      <c r="G123" s="6"/>
      <c r="H123" s="311"/>
      <c r="I123" s="237"/>
      <c r="J123" s="59"/>
      <c r="K123" s="128">
        <v>3</v>
      </c>
      <c r="L123" s="6">
        <v>27</v>
      </c>
      <c r="M123" s="7">
        <v>5</v>
      </c>
      <c r="N123" s="303">
        <f t="shared" si="34"/>
        <v>496</v>
      </c>
      <c r="O123" s="7"/>
      <c r="P123" s="273"/>
      <c r="Q123" s="218"/>
      <c r="R123" s="303"/>
      <c r="S123" s="311"/>
      <c r="T123" s="133"/>
      <c r="U123" s="133"/>
      <c r="V123" s="357" t="str">
        <f t="shared" si="35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6"/>
        <v/>
      </c>
      <c r="AE123" s="133"/>
      <c r="AF123" s="133"/>
      <c r="AG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133"/>
      <c r="AT123" s="133"/>
      <c r="AU123" s="133"/>
      <c r="AV123" s="133"/>
      <c r="AW123" s="133"/>
      <c r="AX123" s="133"/>
    </row>
    <row r="124" spans="1:50" s="112" customFormat="1" ht="30" customHeight="1" x14ac:dyDescent="0.25">
      <c r="A124" s="400"/>
      <c r="B124" s="128">
        <v>4</v>
      </c>
      <c r="C124" s="6">
        <v>18</v>
      </c>
      <c r="D124" s="7"/>
      <c r="E124" s="303">
        <f t="shared" si="33"/>
        <v>501</v>
      </c>
      <c r="F124" s="6"/>
      <c r="G124" s="6"/>
      <c r="H124" s="311"/>
      <c r="I124" s="237"/>
      <c r="J124" s="59"/>
      <c r="K124" s="128">
        <v>4</v>
      </c>
      <c r="L124" s="6">
        <v>15</v>
      </c>
      <c r="M124" s="7">
        <v>250</v>
      </c>
      <c r="N124" s="303">
        <f t="shared" si="34"/>
        <v>251</v>
      </c>
      <c r="O124" s="7"/>
      <c r="P124" s="273"/>
      <c r="Q124" s="218"/>
      <c r="R124" s="303"/>
      <c r="S124" s="311"/>
      <c r="T124" s="133"/>
      <c r="U124" s="133"/>
      <c r="V124" s="357" t="str">
        <f t="shared" si="35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6"/>
        <v/>
      </c>
      <c r="AE124" s="133"/>
      <c r="AF124" s="133"/>
      <c r="AG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133"/>
      <c r="AT124" s="133"/>
      <c r="AU124" s="133"/>
      <c r="AV124" s="133"/>
      <c r="AW124" s="133"/>
      <c r="AX124" s="133"/>
    </row>
    <row r="125" spans="1:50" s="112" customFormat="1" ht="30" customHeight="1" x14ac:dyDescent="0.25">
      <c r="A125" s="121"/>
      <c r="B125" s="128">
        <v>5</v>
      </c>
      <c r="C125" s="6"/>
      <c r="D125" s="7"/>
      <c r="E125" s="303" t="str">
        <f t="shared" si="33"/>
        <v xml:space="preserve"> </v>
      </c>
      <c r="F125" s="6"/>
      <c r="G125" s="6"/>
      <c r="H125" s="311"/>
      <c r="I125" s="237"/>
      <c r="J125" s="59"/>
      <c r="K125" s="128">
        <v>5</v>
      </c>
      <c r="L125" s="6"/>
      <c r="M125" s="7"/>
      <c r="N125" s="303" t="str">
        <f t="shared" si="34"/>
        <v xml:space="preserve"> </v>
      </c>
      <c r="O125" s="7"/>
      <c r="P125" s="273"/>
      <c r="Q125" s="218"/>
      <c r="R125" s="303"/>
      <c r="S125" s="311"/>
      <c r="T125" s="133"/>
      <c r="U125" s="133"/>
      <c r="V125" s="357" t="str">
        <f t="shared" si="35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6"/>
        <v/>
      </c>
      <c r="AE125" s="133"/>
      <c r="AF125" s="133"/>
      <c r="AG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133"/>
      <c r="AT125" s="133"/>
      <c r="AU125" s="133"/>
      <c r="AV125" s="133"/>
      <c r="AW125" s="133"/>
      <c r="AX125" s="133"/>
    </row>
    <row r="126" spans="1:50" s="112" customFormat="1" ht="30" customHeight="1" x14ac:dyDescent="0.25">
      <c r="A126" s="121"/>
      <c r="B126" s="128">
        <v>6</v>
      </c>
      <c r="C126" s="6"/>
      <c r="D126" s="6"/>
      <c r="E126" s="303" t="str">
        <f t="shared" si="33"/>
        <v xml:space="preserve"> </v>
      </c>
      <c r="F126" s="6"/>
      <c r="G126" s="7"/>
      <c r="H126" s="311"/>
      <c r="I126" s="237"/>
      <c r="J126" s="59"/>
      <c r="K126" s="128">
        <v>6</v>
      </c>
      <c r="L126" s="6"/>
      <c r="M126" s="6"/>
      <c r="N126" s="303" t="str">
        <f t="shared" si="34"/>
        <v xml:space="preserve"> </v>
      </c>
      <c r="O126" s="6"/>
      <c r="P126" s="162"/>
      <c r="Q126" s="218"/>
      <c r="R126" s="303"/>
      <c r="S126" s="311"/>
      <c r="T126" s="133"/>
      <c r="U126" s="133"/>
      <c r="V126" s="357" t="str">
        <f t="shared" si="35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6"/>
        <v/>
      </c>
      <c r="AE126" s="133"/>
      <c r="AF126" s="133"/>
      <c r="AG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133"/>
      <c r="AT126" s="133"/>
      <c r="AU126" s="133"/>
      <c r="AV126" s="133"/>
      <c r="AW126" s="133"/>
      <c r="AX126" s="133"/>
    </row>
    <row r="127" spans="1:50" s="112" customFormat="1" ht="30" customHeight="1" x14ac:dyDescent="0.25">
      <c r="A127" s="121"/>
      <c r="B127" s="128">
        <v>7</v>
      </c>
      <c r="C127" s="6"/>
      <c r="D127" s="6"/>
      <c r="E127" s="303" t="str">
        <f t="shared" si="33"/>
        <v xml:space="preserve"> </v>
      </c>
      <c r="F127" s="6"/>
      <c r="G127" s="7"/>
      <c r="H127" s="311"/>
      <c r="I127" s="237"/>
      <c r="J127" s="59"/>
      <c r="K127" s="128">
        <v>7</v>
      </c>
      <c r="L127" s="6"/>
      <c r="M127" s="6"/>
      <c r="N127" s="303" t="str">
        <f t="shared" si="34"/>
        <v xml:space="preserve"> </v>
      </c>
      <c r="O127" s="6"/>
      <c r="P127" s="162"/>
      <c r="Q127" s="218"/>
      <c r="R127" s="303"/>
      <c r="S127" s="311"/>
      <c r="T127" s="133"/>
      <c r="U127" s="133"/>
      <c r="V127" s="357" t="str">
        <f t="shared" si="35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6"/>
        <v/>
      </c>
      <c r="AE127" s="133"/>
      <c r="AF127" s="133"/>
      <c r="AG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133"/>
      <c r="AT127" s="133"/>
      <c r="AU127" s="133"/>
      <c r="AV127" s="133"/>
      <c r="AW127" s="133"/>
      <c r="AX127" s="133"/>
    </row>
    <row r="128" spans="1:50" s="4" customFormat="1" ht="18" customHeight="1" thickBot="1" x14ac:dyDescent="0.25">
      <c r="A128" s="153"/>
      <c r="B128" s="137" t="s">
        <v>21</v>
      </c>
      <c r="C128" s="136">
        <f>COUNTIF(C121:C127,"&gt;0")</f>
        <v>4</v>
      </c>
      <c r="D128" s="136">
        <f>COUNTIF(D121:D127,"&gt;0")</f>
        <v>0</v>
      </c>
      <c r="E128" s="137"/>
      <c r="F128" s="138"/>
      <c r="G128" s="137"/>
      <c r="H128" s="312"/>
      <c r="I128" s="139"/>
      <c r="J128" s="140"/>
      <c r="K128" s="140"/>
      <c r="L128" s="136">
        <f>COUNTIF(L121:L127,"&gt;0")</f>
        <v>4</v>
      </c>
      <c r="M128" s="136">
        <f>COUNTIF(M121:M127,"&gt;0")</f>
        <v>4</v>
      </c>
      <c r="N128" s="137"/>
      <c r="O128" s="141"/>
      <c r="P128" s="135"/>
      <c r="Q128" s="216"/>
      <c r="R128" s="137"/>
      <c r="S128" s="312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12"/>
      <c r="AI128" s="133"/>
      <c r="AJ128" s="133"/>
      <c r="AK128" s="133"/>
      <c r="AS128" s="133"/>
      <c r="AT128" s="133"/>
      <c r="AU128" s="133"/>
      <c r="AV128" s="133"/>
      <c r="AW128" s="133"/>
      <c r="AX128" s="133"/>
    </row>
    <row r="129" spans="1:50" s="4" customFormat="1" ht="30.75" customHeight="1" x14ac:dyDescent="0.2">
      <c r="A129" s="5"/>
      <c r="C129" s="112"/>
      <c r="D129" s="168"/>
      <c r="F129" s="109"/>
      <c r="H129" s="5"/>
      <c r="I129" s="234"/>
      <c r="J129" s="111"/>
      <c r="K129" s="110"/>
      <c r="L129" s="168"/>
      <c r="M129" s="168"/>
      <c r="O129" s="170"/>
      <c r="P129" s="112"/>
      <c r="Q129" s="133"/>
      <c r="T129" s="118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12"/>
      <c r="AI129" s="133"/>
      <c r="AJ129" s="133"/>
      <c r="AK129" s="133"/>
      <c r="AS129" s="133"/>
      <c r="AT129" s="133"/>
      <c r="AU129" s="133"/>
      <c r="AV129" s="133"/>
      <c r="AW129" s="133"/>
      <c r="AX129" s="133"/>
    </row>
    <row r="130" spans="1:50" s="4" customFormat="1" ht="30.75" customHeight="1" x14ac:dyDescent="0.25">
      <c r="A130" s="21"/>
      <c r="B130" s="21"/>
      <c r="C130" s="455"/>
      <c r="D130" s="455"/>
      <c r="E130" s="455"/>
      <c r="F130" s="455"/>
      <c r="G130" s="455"/>
      <c r="H130" s="5"/>
      <c r="I130" s="120"/>
      <c r="J130" s="59"/>
      <c r="K130" s="172"/>
      <c r="L130" s="455"/>
      <c r="M130" s="455"/>
      <c r="N130" s="455"/>
      <c r="O130" s="455"/>
      <c r="P130" s="455"/>
      <c r="Q130" s="455"/>
      <c r="R130" s="455"/>
      <c r="S130" s="5"/>
      <c r="T130" s="118"/>
      <c r="U130" s="118"/>
      <c r="V130" s="118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12"/>
      <c r="AI130" s="133"/>
      <c r="AJ130" s="133"/>
      <c r="AK130" s="133"/>
      <c r="AS130" s="133"/>
      <c r="AT130" s="133"/>
      <c r="AU130" s="133"/>
      <c r="AV130" s="133"/>
      <c r="AW130" s="133"/>
      <c r="AX130" s="133"/>
    </row>
    <row r="131" spans="1:50" s="4" customFormat="1" x14ac:dyDescent="0.2">
      <c r="A131" s="21"/>
      <c r="B131" s="21"/>
      <c r="C131" s="21"/>
      <c r="D131" s="21"/>
      <c r="E131" s="21"/>
      <c r="F131" s="146"/>
      <c r="G131" s="21"/>
      <c r="H131" s="124"/>
      <c r="I131" s="391"/>
      <c r="J131" s="391"/>
      <c r="K131" s="131"/>
      <c r="L131" s="131"/>
      <c r="M131" s="131"/>
      <c r="N131" s="21"/>
      <c r="O131" s="146"/>
      <c r="P131" s="21"/>
      <c r="Q131" s="118"/>
      <c r="R131" s="5"/>
      <c r="S131" s="5"/>
      <c r="T131" s="118"/>
      <c r="U131" s="118"/>
      <c r="V131" s="118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12"/>
      <c r="AI131" s="133"/>
      <c r="AJ131" s="133"/>
      <c r="AK131" s="133"/>
      <c r="AS131" s="133"/>
      <c r="AT131" s="133"/>
      <c r="AU131" s="133"/>
      <c r="AV131" s="133"/>
      <c r="AW131" s="133"/>
      <c r="AX131" s="133"/>
    </row>
    <row r="132" spans="1:50" s="4" customFormat="1" ht="30.75" customHeight="1" x14ac:dyDescent="0.25">
      <c r="A132" s="427"/>
      <c r="B132" s="128"/>
      <c r="C132" s="129"/>
      <c r="D132" s="211"/>
      <c r="E132" s="129"/>
      <c r="F132" s="129"/>
      <c r="G132" s="129"/>
      <c r="H132" s="5"/>
      <c r="I132" s="239"/>
      <c r="J132" s="59"/>
      <c r="K132" s="128"/>
      <c r="L132" s="129"/>
      <c r="M132" s="211"/>
      <c r="N132" s="129"/>
      <c r="O132" s="211"/>
      <c r="P132" s="271"/>
      <c r="Q132" s="218"/>
      <c r="R132" s="303"/>
      <c r="S132" s="5"/>
      <c r="T132" s="133"/>
      <c r="U132" s="133"/>
      <c r="V132" s="357" t="str">
        <f t="shared" ref="V132:V135" si="37">IF(AND(E132=501,N132=501),"TARKISTA JÄI-SARAKE"," ")</f>
        <v xml:space="preserve"> </v>
      </c>
      <c r="W132" s="193"/>
      <c r="X132" s="175"/>
      <c r="Y132" s="133"/>
      <c r="Z132" s="133"/>
      <c r="AA132" s="133"/>
      <c r="AB132" s="133"/>
      <c r="AC132" s="133"/>
      <c r="AD132" s="134" t="str">
        <f t="shared" ref="AD132:AD135" si="38">IF(AND(C132=0,L132&gt;0),"toinen TIKAT-sarake tyhjä !",IF(AND(C132&gt;0,L132=0),"toinen TIKAT-sarake tyhjä !",""))</f>
        <v/>
      </c>
      <c r="AE132" s="133"/>
      <c r="AF132" s="133"/>
      <c r="AG132" s="133"/>
      <c r="AH132" s="112"/>
      <c r="AI132" s="133"/>
      <c r="AJ132" s="133"/>
      <c r="AK132" s="133"/>
      <c r="AS132" s="133"/>
      <c r="AT132" s="133"/>
      <c r="AU132" s="133"/>
      <c r="AV132" s="133"/>
      <c r="AW132" s="133"/>
      <c r="AX132" s="133"/>
    </row>
    <row r="133" spans="1:50" s="4" customFormat="1" ht="30.75" customHeight="1" x14ac:dyDescent="0.25">
      <c r="A133" s="428"/>
      <c r="B133" s="128"/>
      <c r="C133" s="129"/>
      <c r="D133" s="211"/>
      <c r="E133" s="129"/>
      <c r="F133" s="129"/>
      <c r="G133" s="129"/>
      <c r="H133" s="5"/>
      <c r="I133" s="239"/>
      <c r="J133" s="59"/>
      <c r="K133" s="128"/>
      <c r="L133" s="129"/>
      <c r="M133" s="211"/>
      <c r="N133" s="129"/>
      <c r="O133" s="211"/>
      <c r="P133" s="271"/>
      <c r="Q133" s="218"/>
      <c r="R133" s="303"/>
      <c r="S133" s="5"/>
      <c r="T133" s="133"/>
      <c r="U133" s="133"/>
      <c r="V133" s="357" t="str">
        <f t="shared" si="37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8"/>
        <v/>
      </c>
      <c r="AE133" s="133"/>
      <c r="AF133" s="133"/>
      <c r="AG133" s="133"/>
      <c r="AH133" s="112"/>
      <c r="AI133" s="133"/>
      <c r="AJ133" s="133"/>
      <c r="AK133" s="133"/>
      <c r="AS133" s="133"/>
      <c r="AT133" s="133"/>
      <c r="AU133" s="133"/>
      <c r="AV133" s="133"/>
      <c r="AW133" s="133"/>
      <c r="AX133" s="133"/>
    </row>
    <row r="134" spans="1:50" s="4" customFormat="1" ht="30.75" customHeight="1" x14ac:dyDescent="0.25">
      <c r="A134" s="428"/>
      <c r="B134" s="128"/>
      <c r="C134" s="129"/>
      <c r="D134" s="211"/>
      <c r="E134" s="129"/>
      <c r="F134" s="129"/>
      <c r="G134" s="129"/>
      <c r="H134" s="5"/>
      <c r="I134" s="239"/>
      <c r="J134" s="59"/>
      <c r="K134" s="128"/>
      <c r="L134" s="211"/>
      <c r="M134" s="211"/>
      <c r="N134" s="129"/>
      <c r="O134" s="211"/>
      <c r="P134" s="271"/>
      <c r="Q134" s="218"/>
      <c r="R134" s="303"/>
      <c r="S134" s="5"/>
      <c r="T134" s="133"/>
      <c r="U134" s="133"/>
      <c r="V134" s="357" t="str">
        <f t="shared" si="37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8"/>
        <v/>
      </c>
      <c r="AE134" s="133"/>
      <c r="AF134" s="133"/>
      <c r="AG134" s="133"/>
      <c r="AH134" s="112"/>
      <c r="AI134" s="133"/>
      <c r="AJ134" s="133"/>
      <c r="AK134" s="133"/>
      <c r="AS134" s="133"/>
      <c r="AT134" s="133"/>
      <c r="AU134" s="133"/>
      <c r="AV134" s="133"/>
      <c r="AW134" s="133"/>
      <c r="AX134" s="133"/>
    </row>
    <row r="135" spans="1:50" s="4" customFormat="1" ht="30.75" customHeight="1" x14ac:dyDescent="0.25">
      <c r="A135" s="21"/>
      <c r="B135" s="128"/>
      <c r="C135" s="129"/>
      <c r="D135" s="211"/>
      <c r="E135" s="129"/>
      <c r="F135" s="129"/>
      <c r="G135" s="129"/>
      <c r="H135" s="5"/>
      <c r="I135" s="239"/>
      <c r="J135" s="59"/>
      <c r="K135" s="128"/>
      <c r="L135" s="211"/>
      <c r="M135" s="211"/>
      <c r="N135" s="129"/>
      <c r="O135" s="211"/>
      <c r="P135" s="271"/>
      <c r="Q135" s="218"/>
      <c r="R135" s="303"/>
      <c r="S135" s="5"/>
      <c r="T135" s="133"/>
      <c r="U135" s="133"/>
      <c r="V135" s="357" t="str">
        <f t="shared" si="37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8"/>
        <v/>
      </c>
      <c r="AE135" s="133"/>
      <c r="AF135" s="133"/>
      <c r="AG135" s="133"/>
      <c r="AH135" s="112"/>
      <c r="AI135" s="133"/>
      <c r="AJ135" s="133"/>
      <c r="AK135" s="133"/>
      <c r="AS135" s="133"/>
      <c r="AT135" s="133"/>
      <c r="AU135" s="133"/>
      <c r="AV135" s="133"/>
      <c r="AW135" s="133"/>
      <c r="AX135" s="133"/>
    </row>
    <row r="136" spans="1:50" s="5" customFormat="1" ht="30.75" customHeight="1" x14ac:dyDescent="0.25">
      <c r="A136" s="21"/>
      <c r="B136" s="128"/>
      <c r="C136" s="129"/>
      <c r="D136" s="211"/>
      <c r="E136" s="129"/>
      <c r="F136" s="129"/>
      <c r="G136" s="211"/>
      <c r="I136" s="239"/>
      <c r="J136" s="59"/>
      <c r="K136" s="128"/>
      <c r="L136" s="129"/>
      <c r="M136" s="211"/>
      <c r="N136" s="129"/>
      <c r="O136" s="129"/>
      <c r="P136" s="212"/>
      <c r="Q136" s="218"/>
      <c r="R136" s="303"/>
      <c r="T136" s="118"/>
      <c r="U136" s="118"/>
      <c r="V136" s="357"/>
      <c r="W136" s="193"/>
      <c r="X136" s="230"/>
      <c r="Y136" s="118"/>
      <c r="Z136" s="118"/>
      <c r="AA136" s="118"/>
      <c r="AB136" s="118"/>
      <c r="AC136" s="118"/>
      <c r="AD136" s="231"/>
      <c r="AE136" s="118"/>
      <c r="AF136" s="118"/>
      <c r="AG136" s="118"/>
      <c r="AH136" s="21"/>
      <c r="AI136" s="118"/>
      <c r="AJ136" s="118"/>
      <c r="AK136" s="118"/>
      <c r="AS136" s="118"/>
      <c r="AT136" s="118"/>
      <c r="AU136" s="118"/>
      <c r="AV136" s="118"/>
      <c r="AW136" s="118"/>
      <c r="AX136" s="118"/>
    </row>
    <row r="137" spans="1:50" s="5" customFormat="1" x14ac:dyDescent="0.2">
      <c r="C137" s="21"/>
      <c r="D137" s="21"/>
      <c r="F137" s="52"/>
      <c r="I137" s="120"/>
      <c r="J137" s="59"/>
      <c r="K137" s="18"/>
      <c r="L137" s="131"/>
      <c r="M137" s="131"/>
      <c r="O137" s="146"/>
      <c r="P137" s="21"/>
      <c r="Q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21"/>
      <c r="AI137" s="118"/>
      <c r="AJ137" s="118"/>
      <c r="AK137" s="118"/>
      <c r="AS137" s="118"/>
      <c r="AT137" s="118"/>
      <c r="AU137" s="118"/>
      <c r="AV137" s="118"/>
      <c r="AW137" s="118"/>
      <c r="AX137" s="118"/>
    </row>
    <row r="138" spans="1:50" s="5" customFormat="1" x14ac:dyDescent="0.2">
      <c r="A138" s="21"/>
      <c r="B138" s="21"/>
      <c r="C138" s="21"/>
      <c r="D138" s="21"/>
      <c r="E138" s="21"/>
      <c r="F138" s="146"/>
      <c r="G138" s="21"/>
      <c r="I138" s="120"/>
      <c r="J138" s="59"/>
      <c r="K138" s="131"/>
      <c r="L138" s="131"/>
      <c r="M138" s="131"/>
      <c r="N138" s="21"/>
      <c r="O138" s="146"/>
      <c r="P138" s="21"/>
      <c r="Q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21"/>
      <c r="AI138" s="118"/>
      <c r="AJ138" s="118"/>
      <c r="AK138" s="118"/>
      <c r="AS138" s="118"/>
      <c r="AT138" s="118"/>
      <c r="AU138" s="118"/>
      <c r="AV138" s="118"/>
      <c r="AW138" s="118"/>
      <c r="AX138" s="118"/>
    </row>
    <row r="139" spans="1:50" s="112" customFormat="1" ht="161.25" customHeight="1" x14ac:dyDescent="0.2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19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18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133"/>
      <c r="AT139" s="133"/>
      <c r="AU139" s="133"/>
      <c r="AV139" s="133"/>
      <c r="AW139" s="133"/>
      <c r="AX139" s="133"/>
    </row>
    <row r="140" spans="1:50" s="112" customFormat="1" ht="24.75" customHeight="1" x14ac:dyDescent="0.2">
      <c r="A140" s="426" t="str">
        <f>C14</f>
        <v>Takkinen Uki</v>
      </c>
      <c r="B140" s="426"/>
      <c r="C140" s="426"/>
      <c r="D140" s="30">
        <f>SUM(C37:C43,C97:C103)</f>
        <v>172</v>
      </c>
      <c r="E140" s="30">
        <f>SUM(C44,C104)</f>
        <v>8</v>
      </c>
      <c r="F140" s="30">
        <f>SUM(D44,D104)</f>
        <v>4</v>
      </c>
      <c r="G140" s="30">
        <f>SUM(D37:D43,D97:D103)</f>
        <v>51</v>
      </c>
      <c r="H140" s="326">
        <f>SUM(E37:E43,E97:E103)</f>
        <v>3957</v>
      </c>
      <c r="I140" s="217"/>
      <c r="J140" s="58">
        <f>SUM(H37,H97)</f>
        <v>1</v>
      </c>
      <c r="K140" s="30">
        <f>E140-F140</f>
        <v>4</v>
      </c>
      <c r="L140" s="30">
        <f>SUM(F37:F43,F97:F103)</f>
        <v>12</v>
      </c>
      <c r="M140" s="30">
        <f>SUM(G37:G43,G97:G103)</f>
        <v>0</v>
      </c>
      <c r="N140" s="240">
        <f>H140/D140</f>
        <v>23.005813953488371</v>
      </c>
      <c r="O140" s="425">
        <f>(L140+M140)/E140</f>
        <v>1.5</v>
      </c>
      <c r="P140" s="425"/>
      <c r="Q140" s="425"/>
      <c r="R140" s="5"/>
      <c r="S140" s="5"/>
      <c r="T140" s="118"/>
      <c r="U140" s="118"/>
      <c r="V140" s="118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133"/>
      <c r="AT140" s="133"/>
      <c r="AU140" s="133"/>
      <c r="AV140" s="133"/>
      <c r="AW140" s="133"/>
      <c r="AX140" s="133"/>
    </row>
    <row r="141" spans="1:50" s="112" customFormat="1" ht="24.75" customHeight="1" x14ac:dyDescent="0.2">
      <c r="A141" s="426" t="str">
        <f>C15</f>
        <v>Finnilä Pauli</v>
      </c>
      <c r="B141" s="426"/>
      <c r="C141" s="426"/>
      <c r="D141" s="30">
        <f>SUM(C49:C55,C85:C91)</f>
        <v>205</v>
      </c>
      <c r="E141" s="30">
        <f>SUM(C56,C92)</f>
        <v>11</v>
      </c>
      <c r="F141" s="30">
        <f>SUM(D56,D92)</f>
        <v>3</v>
      </c>
      <c r="G141" s="30">
        <f>SUM(D49:D55,D85:D91)</f>
        <v>182</v>
      </c>
      <c r="H141" s="326">
        <f>SUM(E49:E55,E85:E91)</f>
        <v>5329</v>
      </c>
      <c r="I141" s="217"/>
      <c r="J141" s="58">
        <f>SUM(H49,H85)</f>
        <v>2</v>
      </c>
      <c r="K141" s="30">
        <f t="shared" ref="K141:K146" si="39">E141-F141</f>
        <v>8</v>
      </c>
      <c r="L141" s="30">
        <f>SUM(F49:F55,F85:F91)</f>
        <v>21</v>
      </c>
      <c r="M141" s="30">
        <f>SUM(G49:G55,G85:G91)</f>
        <v>1</v>
      </c>
      <c r="N141" s="240">
        <f t="shared" ref="N141:N147" si="40">H141/D141</f>
        <v>25.995121951219513</v>
      </c>
      <c r="O141" s="425">
        <f t="shared" ref="O141:O147" si="41">(L141+M141)/E141</f>
        <v>2</v>
      </c>
      <c r="P141" s="425"/>
      <c r="Q141" s="425"/>
      <c r="R141" s="5"/>
      <c r="S141" s="5"/>
      <c r="T141" s="118"/>
      <c r="U141" s="118"/>
      <c r="V141" s="118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133"/>
      <c r="AT141" s="133"/>
      <c r="AU141" s="133"/>
      <c r="AV141" s="133"/>
      <c r="AW141" s="133"/>
      <c r="AX141" s="133"/>
    </row>
    <row r="142" spans="1:50" s="112" customFormat="1" ht="24.75" customHeight="1" x14ac:dyDescent="0.2">
      <c r="A142" s="426" t="str">
        <f>C16</f>
        <v>Viinikka Veijo</v>
      </c>
      <c r="B142" s="426"/>
      <c r="C142" s="426"/>
      <c r="D142" s="30">
        <f>SUM(C61:C67,C121:C127)</f>
        <v>173</v>
      </c>
      <c r="E142" s="30">
        <f>SUM(C68,C128)</f>
        <v>9</v>
      </c>
      <c r="F142" s="30">
        <f>SUM(D68,D128)</f>
        <v>4</v>
      </c>
      <c r="G142" s="30">
        <f>SUM(F61:F67,F121:F127)</f>
        <v>18</v>
      </c>
      <c r="H142" s="326">
        <f>SUM(E61:E67,E121:E127)</f>
        <v>4390</v>
      </c>
      <c r="I142" s="217"/>
      <c r="J142" s="58">
        <f>SUM(H61,H121)</f>
        <v>1</v>
      </c>
      <c r="K142" s="30">
        <f t="shared" si="39"/>
        <v>5</v>
      </c>
      <c r="L142" s="30">
        <f>SUM(F61:F67,F121:F127)</f>
        <v>18</v>
      </c>
      <c r="M142" s="30">
        <f>SUM(G61:G67,G121:G127)</f>
        <v>1</v>
      </c>
      <c r="N142" s="240">
        <f t="shared" si="40"/>
        <v>25.375722543352602</v>
      </c>
      <c r="O142" s="425">
        <f t="shared" si="41"/>
        <v>2.1111111111111112</v>
      </c>
      <c r="P142" s="425"/>
      <c r="Q142" s="425"/>
      <c r="R142" s="5"/>
      <c r="S142" s="5"/>
      <c r="T142" s="118"/>
      <c r="U142" s="118"/>
      <c r="V142" s="118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133"/>
      <c r="AT142" s="133"/>
      <c r="AU142" s="133"/>
      <c r="AV142" s="133"/>
      <c r="AW142" s="133"/>
      <c r="AX142" s="133"/>
    </row>
    <row r="143" spans="1:50" s="112" customFormat="1" ht="24.75" customHeight="1" x14ac:dyDescent="0.2">
      <c r="A143" s="426" t="str">
        <f>C17</f>
        <v>Hyttinen Pasi</v>
      </c>
      <c r="B143" s="426"/>
      <c r="C143" s="426"/>
      <c r="D143" s="30">
        <f>SUM(C73:C79,C109:C115)</f>
        <v>204</v>
      </c>
      <c r="E143" s="30">
        <f>SUM(C80,C116)</f>
        <v>10</v>
      </c>
      <c r="F143" s="30">
        <f>SUM(D80,D116)</f>
        <v>4</v>
      </c>
      <c r="G143" s="30">
        <f>SUM(F73:F79,F109:F115)</f>
        <v>13</v>
      </c>
      <c r="H143" s="326">
        <f>SUM(E73:E79,E109:E115)</f>
        <v>4652</v>
      </c>
      <c r="I143" s="217"/>
      <c r="J143" s="58">
        <f>SUM(H73,H109)</f>
        <v>1</v>
      </c>
      <c r="K143" s="30">
        <f t="shared" si="39"/>
        <v>6</v>
      </c>
      <c r="L143" s="30">
        <f>SUM(F73:F79,F109:F115)</f>
        <v>13</v>
      </c>
      <c r="M143" s="30">
        <f>SUM(G73:G79,G109:G115)</f>
        <v>1</v>
      </c>
      <c r="N143" s="240">
        <f t="shared" si="40"/>
        <v>22.803921568627452</v>
      </c>
      <c r="O143" s="425">
        <f t="shared" si="41"/>
        <v>1.4</v>
      </c>
      <c r="P143" s="425"/>
      <c r="Q143" s="425"/>
      <c r="R143" s="5"/>
      <c r="S143" s="5"/>
      <c r="T143" s="118"/>
      <c r="U143" s="118"/>
      <c r="V143" s="118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133"/>
      <c r="AT143" s="133"/>
      <c r="AU143" s="133"/>
      <c r="AV143" s="133"/>
      <c r="AW143" s="133"/>
      <c r="AX143" s="133"/>
    </row>
    <row r="144" spans="1:50" s="112" customFormat="1" ht="24.75" customHeight="1" x14ac:dyDescent="0.2">
      <c r="A144" s="456" t="str">
        <f>J14</f>
        <v>Kinnunen Tomi</v>
      </c>
      <c r="B144" s="426"/>
      <c r="C144" s="426"/>
      <c r="D144" s="30">
        <f>SUM(L37:L43,L85:L91)</f>
        <v>177</v>
      </c>
      <c r="E144" s="30">
        <f>SUM(L44,L92)</f>
        <v>9</v>
      </c>
      <c r="F144" s="30">
        <f>SUM(M44,M92)</f>
        <v>8</v>
      </c>
      <c r="G144" s="30">
        <f>SUM(M37:M43,M85:M91)</f>
        <v>713</v>
      </c>
      <c r="H144" s="326">
        <f>SUM(N37:N43,N85:N91)</f>
        <v>3796</v>
      </c>
      <c r="I144" s="217"/>
      <c r="J144" s="58">
        <f>SUM(R37,R85)</f>
        <v>0</v>
      </c>
      <c r="K144" s="30">
        <f t="shared" si="39"/>
        <v>1</v>
      </c>
      <c r="L144" s="30">
        <f>SUM(O37:O43,O85:O91)</f>
        <v>16</v>
      </c>
      <c r="M144" s="30">
        <f>SUM(P37:P43,P85:P91)</f>
        <v>0</v>
      </c>
      <c r="N144" s="240">
        <f t="shared" si="40"/>
        <v>21.44632768361582</v>
      </c>
      <c r="O144" s="425">
        <f t="shared" si="41"/>
        <v>1.7777777777777777</v>
      </c>
      <c r="P144" s="425"/>
      <c r="Q144" s="425"/>
      <c r="R144" s="5"/>
      <c r="S144" s="5"/>
      <c r="T144" s="118"/>
      <c r="U144" s="118"/>
      <c r="V144" s="118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133"/>
      <c r="AT144" s="133"/>
      <c r="AU144" s="133"/>
      <c r="AV144" s="133"/>
      <c r="AW144" s="133"/>
      <c r="AX144" s="133"/>
    </row>
    <row r="145" spans="1:50" s="112" customFormat="1" ht="24.75" customHeight="1" x14ac:dyDescent="0.2">
      <c r="A145" s="456" t="str">
        <f t="shared" ref="A145:A147" si="42">J15</f>
        <v>Selenius Peter</v>
      </c>
      <c r="B145" s="426"/>
      <c r="C145" s="426"/>
      <c r="D145" s="30">
        <f>SUM(L49:L55,L97:L103)</f>
        <v>196</v>
      </c>
      <c r="E145" s="30">
        <f>SUM(L56,L104)</f>
        <v>10</v>
      </c>
      <c r="F145" s="30">
        <f>SUM(M56,M104)</f>
        <v>4</v>
      </c>
      <c r="G145" s="30">
        <f>SUM(M49:M55,M97:M103)</f>
        <v>617</v>
      </c>
      <c r="H145" s="326">
        <f>SUM(N49:N55,N97:N103)</f>
        <v>4393</v>
      </c>
      <c r="I145" s="217"/>
      <c r="J145" s="58">
        <f>SUM(R49,R97)</f>
        <v>1</v>
      </c>
      <c r="K145" s="30">
        <f t="shared" si="39"/>
        <v>6</v>
      </c>
      <c r="L145" s="30">
        <f>SUM(O49:O55,O97:O103)</f>
        <v>13</v>
      </c>
      <c r="M145" s="30">
        <f>SUM(P49:P55,P97:P103)</f>
        <v>0</v>
      </c>
      <c r="N145" s="240">
        <f t="shared" si="40"/>
        <v>22.413265306122447</v>
      </c>
      <c r="O145" s="425">
        <f t="shared" si="41"/>
        <v>1.3</v>
      </c>
      <c r="P145" s="425"/>
      <c r="Q145" s="425"/>
      <c r="R145" s="5"/>
      <c r="S145" s="5"/>
      <c r="T145" s="118"/>
      <c r="U145" s="118"/>
      <c r="V145" s="118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133"/>
      <c r="AT145" s="133"/>
      <c r="AU145" s="133"/>
      <c r="AV145" s="133"/>
      <c r="AW145" s="133"/>
      <c r="AX145" s="133"/>
    </row>
    <row r="146" spans="1:50" s="112" customFormat="1" ht="24.75" customHeight="1" x14ac:dyDescent="0.2">
      <c r="A146" s="456" t="str">
        <f t="shared" si="42"/>
        <v>Högström Sami</v>
      </c>
      <c r="B146" s="426"/>
      <c r="C146" s="426"/>
      <c r="D146" s="30">
        <f>SUM(L61:L67,L109:L115)</f>
        <v>210</v>
      </c>
      <c r="E146" s="30">
        <f>SUM(L68,L116)</f>
        <v>11</v>
      </c>
      <c r="F146" s="30">
        <f>SUM(M68,M116)</f>
        <v>3</v>
      </c>
      <c r="G146" s="30">
        <f>SUM(M61:M67,M109:M115)</f>
        <v>243</v>
      </c>
      <c r="H146" s="326">
        <f>SUM(N61:N67,N109:N115)</f>
        <v>5268</v>
      </c>
      <c r="I146" s="217"/>
      <c r="J146" s="58">
        <f>SUM(R61,R109)</f>
        <v>2</v>
      </c>
      <c r="K146" s="30">
        <f t="shared" si="39"/>
        <v>8</v>
      </c>
      <c r="L146" s="30">
        <f>SUM(O61:O67,O109:O115)</f>
        <v>23</v>
      </c>
      <c r="M146" s="30">
        <f>SUM(P61:P67,P109:P115)</f>
        <v>1</v>
      </c>
      <c r="N146" s="240">
        <f t="shared" si="40"/>
        <v>25.085714285714285</v>
      </c>
      <c r="O146" s="425">
        <f t="shared" si="41"/>
        <v>2.1818181818181817</v>
      </c>
      <c r="P146" s="425"/>
      <c r="Q146" s="425"/>
      <c r="R146" s="5"/>
      <c r="S146" s="5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21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133"/>
      <c r="AT146" s="133"/>
      <c r="AU146" s="133"/>
      <c r="AV146" s="133"/>
      <c r="AW146" s="133"/>
      <c r="AX146" s="133"/>
    </row>
    <row r="147" spans="1:50" s="112" customFormat="1" ht="24.75" customHeight="1" x14ac:dyDescent="0.2">
      <c r="A147" s="456" t="str">
        <f t="shared" si="42"/>
        <v>Ek Matti</v>
      </c>
      <c r="B147" s="426"/>
      <c r="C147" s="426"/>
      <c r="D147" s="30">
        <f>SUM(L73:L79,L121:L127)</f>
        <v>159</v>
      </c>
      <c r="E147" s="30">
        <f>SUM(L80,L128)</f>
        <v>8</v>
      </c>
      <c r="F147" s="30">
        <f>SUM(M80,M128)</f>
        <v>8</v>
      </c>
      <c r="G147" s="30">
        <f>SUM(M73:M79,M121:M127)</f>
        <v>963</v>
      </c>
      <c r="H147" s="326">
        <f>SUM(N73:N79,N121:N127)</f>
        <v>3045</v>
      </c>
      <c r="I147" s="217"/>
      <c r="J147" s="58">
        <f>SUM(R73,R121)</f>
        <v>0</v>
      </c>
      <c r="K147" s="30">
        <f>E147-F147</f>
        <v>0</v>
      </c>
      <c r="L147" s="30">
        <f>SUM(O73:O79,O121:O127)</f>
        <v>5</v>
      </c>
      <c r="M147" s="30">
        <f>SUM(P73:P79,P121:P127)</f>
        <v>0</v>
      </c>
      <c r="N147" s="240">
        <f t="shared" si="40"/>
        <v>19.150943396226417</v>
      </c>
      <c r="O147" s="425">
        <f t="shared" si="41"/>
        <v>0.625</v>
      </c>
      <c r="P147" s="425"/>
      <c r="Q147" s="425"/>
      <c r="R147" s="5"/>
      <c r="S147" s="5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21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133"/>
      <c r="AT147" s="133"/>
      <c r="AU147" s="133"/>
      <c r="AV147" s="133"/>
      <c r="AW147" s="133"/>
      <c r="AX147" s="133"/>
    </row>
    <row r="148" spans="1:50" s="112" customFormat="1" x14ac:dyDescent="0.2">
      <c r="A148" s="5"/>
      <c r="B148" s="5"/>
      <c r="C148" s="21"/>
      <c r="D148" s="129"/>
      <c r="E148" s="5"/>
      <c r="F148" s="52"/>
      <c r="G148" s="5"/>
      <c r="H148" s="5"/>
      <c r="I148" s="120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21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133"/>
      <c r="AT148" s="133"/>
      <c r="AU148" s="133"/>
      <c r="AV148" s="133"/>
      <c r="AW148" s="133"/>
      <c r="AX148" s="133"/>
    </row>
    <row r="149" spans="1:50" s="4" customFormat="1" x14ac:dyDescent="0.2">
      <c r="A149" s="5"/>
      <c r="B149" s="5"/>
      <c r="C149" s="21"/>
      <c r="D149" s="21"/>
      <c r="E149" s="5"/>
      <c r="F149" s="52"/>
      <c r="G149" s="5"/>
      <c r="H149" s="5"/>
      <c r="I149" s="120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21"/>
      <c r="AI149" s="118"/>
      <c r="AJ149" s="118"/>
      <c r="AK149" s="118"/>
      <c r="AS149" s="133"/>
      <c r="AT149" s="133"/>
      <c r="AU149" s="133"/>
      <c r="AV149" s="133"/>
      <c r="AW149" s="133"/>
      <c r="AX149" s="133"/>
    </row>
    <row r="150" spans="1:50" s="4" customFormat="1" x14ac:dyDescent="0.2">
      <c r="A150" s="5"/>
      <c r="B150" s="5"/>
      <c r="C150" s="21"/>
      <c r="D150" s="21"/>
      <c r="E150" s="5"/>
      <c r="F150" s="52"/>
      <c r="G150" s="5"/>
      <c r="H150" s="5"/>
      <c r="I150" s="120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21"/>
      <c r="AI150" s="118"/>
      <c r="AJ150" s="118"/>
      <c r="AK150" s="118"/>
      <c r="AS150" s="133"/>
      <c r="AT150" s="133"/>
      <c r="AU150" s="133"/>
      <c r="AV150" s="133"/>
      <c r="AW150" s="133"/>
      <c r="AX150" s="133"/>
    </row>
    <row r="151" spans="1:50" s="4" customFormat="1" x14ac:dyDescent="0.2">
      <c r="A151" s="5"/>
      <c r="C151" s="112"/>
      <c r="D151" s="112"/>
      <c r="F151" s="109"/>
      <c r="I151" s="234"/>
      <c r="J151" s="111"/>
      <c r="K151" s="110"/>
      <c r="L151" s="168"/>
      <c r="M151" s="168"/>
      <c r="O151" s="170"/>
      <c r="P151" s="112"/>
      <c r="Q151" s="133"/>
      <c r="T151" s="133"/>
      <c r="U151" s="133"/>
      <c r="V151" s="13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21"/>
      <c r="AI151" s="118"/>
      <c r="AJ151" s="118"/>
      <c r="AK151" s="118"/>
      <c r="AS151" s="133"/>
      <c r="AT151" s="133"/>
      <c r="AU151" s="133"/>
      <c r="AV151" s="133"/>
      <c r="AW151" s="133"/>
      <c r="AX151" s="133"/>
    </row>
    <row r="152" spans="1:50" s="4" customFormat="1" x14ac:dyDescent="0.2">
      <c r="A152" s="5"/>
      <c r="C152" s="112"/>
      <c r="D152" s="112"/>
      <c r="F152" s="109"/>
      <c r="I152" s="234"/>
      <c r="J152" s="111"/>
      <c r="K152" s="110"/>
      <c r="L152" s="168"/>
      <c r="M152" s="168"/>
      <c r="O152" s="170"/>
      <c r="P152" s="112"/>
      <c r="Q152" s="133"/>
      <c r="T152" s="133"/>
      <c r="U152" s="133"/>
      <c r="V152" s="13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21"/>
      <c r="AI152" s="118"/>
      <c r="AJ152" s="118"/>
      <c r="AK152" s="118"/>
      <c r="AS152" s="133"/>
      <c r="AT152" s="133"/>
      <c r="AU152" s="133"/>
      <c r="AV152" s="133"/>
      <c r="AW152" s="133"/>
      <c r="AX152" s="133"/>
    </row>
    <row r="153" spans="1:50" s="4" customFormat="1" x14ac:dyDescent="0.2">
      <c r="A153" s="5"/>
      <c r="C153" s="112"/>
      <c r="D153" s="112"/>
      <c r="F153" s="109"/>
      <c r="I153" s="234"/>
      <c r="J153" s="111"/>
      <c r="K153" s="110"/>
      <c r="L153" s="168"/>
      <c r="M153" s="168"/>
      <c r="O153" s="170"/>
      <c r="P153" s="112"/>
      <c r="Q153" s="133"/>
      <c r="T153" s="133"/>
      <c r="U153" s="133"/>
      <c r="V153" s="13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21"/>
      <c r="AI153" s="118"/>
      <c r="AJ153" s="118"/>
      <c r="AK153" s="118"/>
      <c r="AS153" s="133"/>
      <c r="AT153" s="133"/>
      <c r="AU153" s="133"/>
      <c r="AV153" s="133"/>
      <c r="AW153" s="133"/>
      <c r="AX153" s="133"/>
    </row>
    <row r="154" spans="1:50" s="4" customFormat="1" x14ac:dyDescent="0.2">
      <c r="A154" s="5"/>
      <c r="C154" s="112"/>
      <c r="D154" s="112"/>
      <c r="F154" s="109"/>
      <c r="I154" s="234"/>
      <c r="J154" s="111"/>
      <c r="K154" s="110"/>
      <c r="L154" s="168"/>
      <c r="M154" s="168"/>
      <c r="O154" s="170"/>
      <c r="P154" s="112"/>
      <c r="Q154" s="133"/>
      <c r="T154" s="133"/>
      <c r="U154" s="133"/>
      <c r="V154" s="13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21"/>
      <c r="AI154" s="118"/>
      <c r="AJ154" s="118"/>
      <c r="AK154" s="118"/>
      <c r="AS154" s="133"/>
      <c r="AT154" s="133"/>
      <c r="AU154" s="133"/>
      <c r="AV154" s="133"/>
      <c r="AW154" s="133"/>
      <c r="AX154" s="133"/>
    </row>
    <row r="155" spans="1:50" s="4" customFormat="1" x14ac:dyDescent="0.2">
      <c r="A155" s="5"/>
      <c r="C155" s="112"/>
      <c r="D155" s="112"/>
      <c r="F155" s="109"/>
      <c r="I155" s="234"/>
      <c r="J155" s="111"/>
      <c r="K155" s="110"/>
      <c r="L155" s="168"/>
      <c r="M155" s="168"/>
      <c r="O155" s="170"/>
      <c r="P155" s="112"/>
      <c r="Q155" s="133"/>
      <c r="T155" s="133"/>
      <c r="U155" s="133"/>
      <c r="V155" s="13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21"/>
      <c r="AI155" s="118"/>
      <c r="AJ155" s="118"/>
      <c r="AK155" s="118"/>
      <c r="AS155" s="133"/>
      <c r="AT155" s="133"/>
      <c r="AU155" s="133"/>
      <c r="AV155" s="133"/>
      <c r="AW155" s="133"/>
      <c r="AX155" s="133"/>
    </row>
    <row r="156" spans="1:50" s="4" customFormat="1" x14ac:dyDescent="0.2">
      <c r="A156" s="5"/>
      <c r="C156" s="112"/>
      <c r="D156" s="112"/>
      <c r="F156" s="109"/>
      <c r="I156" s="234"/>
      <c r="J156" s="111"/>
      <c r="K156" s="110"/>
      <c r="L156" s="168"/>
      <c r="M156" s="168"/>
      <c r="O156" s="170"/>
      <c r="P156" s="112"/>
      <c r="Q156" s="133"/>
      <c r="T156" s="133"/>
      <c r="U156" s="133"/>
      <c r="V156" s="13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21"/>
      <c r="AI156" s="118"/>
      <c r="AJ156" s="118"/>
      <c r="AK156" s="118"/>
      <c r="AS156" s="133"/>
      <c r="AT156" s="133"/>
      <c r="AU156" s="133"/>
      <c r="AV156" s="133"/>
      <c r="AW156" s="133"/>
      <c r="AX156" s="133"/>
    </row>
    <row r="157" spans="1:50" s="4" customFormat="1" x14ac:dyDescent="0.2">
      <c r="A157" s="5"/>
      <c r="C157" s="112"/>
      <c r="D157" s="112"/>
      <c r="F157" s="109"/>
      <c r="I157" s="234"/>
      <c r="J157" s="111"/>
      <c r="K157" s="110"/>
      <c r="L157" s="168"/>
      <c r="M157" s="168"/>
      <c r="O157" s="170"/>
      <c r="P157" s="112"/>
      <c r="Q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12"/>
      <c r="AI157" s="133"/>
      <c r="AJ157" s="133"/>
      <c r="AK157" s="133"/>
      <c r="AS157" s="133"/>
      <c r="AT157" s="133"/>
      <c r="AU157" s="133"/>
      <c r="AV157" s="133"/>
      <c r="AW157" s="133"/>
      <c r="AX157" s="133"/>
    </row>
    <row r="158" spans="1:50" s="4" customFormat="1" x14ac:dyDescent="0.2">
      <c r="A158" s="5"/>
      <c r="C158" s="112"/>
      <c r="D158" s="112"/>
      <c r="F158" s="109"/>
      <c r="I158" s="234"/>
      <c r="J158" s="111"/>
      <c r="K158" s="110"/>
      <c r="L158" s="168"/>
      <c r="M158" s="168"/>
      <c r="O158" s="170"/>
      <c r="P158" s="112"/>
      <c r="Q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12"/>
      <c r="AI158" s="133"/>
      <c r="AJ158" s="133"/>
      <c r="AK158" s="133"/>
      <c r="AS158" s="133"/>
      <c r="AT158" s="133"/>
      <c r="AU158" s="133"/>
      <c r="AV158" s="133"/>
      <c r="AW158" s="133"/>
      <c r="AX158" s="133"/>
    </row>
    <row r="159" spans="1:50" s="4" customFormat="1" x14ac:dyDescent="0.2">
      <c r="A159" s="5"/>
      <c r="C159" s="112"/>
      <c r="D159" s="112"/>
      <c r="F159" s="109"/>
      <c r="I159" s="234"/>
      <c r="J159" s="111"/>
      <c r="K159" s="110"/>
      <c r="L159" s="168"/>
      <c r="M159" s="168"/>
      <c r="O159" s="170"/>
      <c r="P159" s="112"/>
      <c r="Q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12"/>
      <c r="AI159" s="133"/>
      <c r="AJ159" s="133"/>
      <c r="AK159" s="133"/>
      <c r="AS159" s="133"/>
      <c r="AT159" s="133"/>
      <c r="AU159" s="133"/>
      <c r="AV159" s="133"/>
      <c r="AW159" s="133"/>
      <c r="AX159" s="133"/>
    </row>
    <row r="160" spans="1:50" s="4" customFormat="1" x14ac:dyDescent="0.2">
      <c r="A160" s="5"/>
      <c r="C160" s="112"/>
      <c r="D160" s="112"/>
      <c r="F160" s="109"/>
      <c r="I160" s="234"/>
      <c r="J160" s="111"/>
      <c r="K160" s="110"/>
      <c r="L160" s="168"/>
      <c r="M160" s="168"/>
      <c r="O160" s="170"/>
      <c r="P160" s="112"/>
      <c r="Q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12"/>
      <c r="AI160" s="133"/>
      <c r="AJ160" s="133"/>
      <c r="AK160" s="133"/>
      <c r="AS160" s="133"/>
      <c r="AT160" s="133"/>
      <c r="AU160" s="133"/>
      <c r="AV160" s="133"/>
      <c r="AW160" s="133"/>
      <c r="AX160" s="133"/>
    </row>
    <row r="161" spans="1:50" s="4" customFormat="1" x14ac:dyDescent="0.2">
      <c r="A161" s="5"/>
      <c r="C161" s="112"/>
      <c r="D161" s="112"/>
      <c r="F161" s="109"/>
      <c r="I161" s="234"/>
      <c r="J161" s="111"/>
      <c r="K161" s="110"/>
      <c r="L161" s="168"/>
      <c r="M161" s="168"/>
      <c r="O161" s="170"/>
      <c r="P161" s="112"/>
      <c r="Q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12"/>
      <c r="AI161" s="133"/>
      <c r="AJ161" s="133"/>
      <c r="AK161" s="133"/>
      <c r="AS161" s="133"/>
      <c r="AT161" s="133"/>
      <c r="AU161" s="133"/>
      <c r="AV161" s="133"/>
      <c r="AW161" s="133"/>
      <c r="AX161" s="133"/>
    </row>
    <row r="162" spans="1:50" s="4" customFormat="1" x14ac:dyDescent="0.2">
      <c r="A162" s="5"/>
      <c r="C162" s="112"/>
      <c r="D162" s="112"/>
      <c r="F162" s="109"/>
      <c r="I162" s="234"/>
      <c r="J162" s="111"/>
      <c r="K162" s="110"/>
      <c r="L162" s="168"/>
      <c r="M162" s="168"/>
      <c r="O162" s="170"/>
      <c r="P162" s="112"/>
      <c r="Q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12"/>
      <c r="AI162" s="133"/>
      <c r="AJ162" s="133"/>
      <c r="AK162" s="133"/>
      <c r="AS162" s="133"/>
      <c r="AT162" s="133"/>
      <c r="AU162" s="133"/>
      <c r="AV162" s="133"/>
      <c r="AW162" s="133"/>
      <c r="AX162" s="133"/>
    </row>
    <row r="163" spans="1:50" s="4" customFormat="1" x14ac:dyDescent="0.2">
      <c r="A163" s="5"/>
      <c r="C163" s="112"/>
      <c r="D163" s="112"/>
      <c r="F163" s="109"/>
      <c r="I163" s="234"/>
      <c r="J163" s="111"/>
      <c r="K163" s="110"/>
      <c r="L163" s="168"/>
      <c r="M163" s="168"/>
      <c r="O163" s="170"/>
      <c r="P163" s="112"/>
      <c r="Q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12"/>
      <c r="AI163" s="133"/>
      <c r="AJ163" s="133"/>
      <c r="AK163" s="133"/>
      <c r="AS163" s="133"/>
      <c r="AT163" s="133"/>
      <c r="AU163" s="133"/>
      <c r="AV163" s="133"/>
      <c r="AW163" s="133"/>
      <c r="AX163" s="133"/>
    </row>
    <row r="164" spans="1:50" s="4" customFormat="1" x14ac:dyDescent="0.2">
      <c r="A164" s="5"/>
      <c r="C164" s="112"/>
      <c r="D164" s="112"/>
      <c r="F164" s="109"/>
      <c r="I164" s="234"/>
      <c r="J164" s="111"/>
      <c r="K164" s="110"/>
      <c r="L164" s="168"/>
      <c r="M164" s="168"/>
      <c r="O164" s="170"/>
      <c r="P164" s="112"/>
      <c r="Q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12"/>
      <c r="AI164" s="133"/>
      <c r="AJ164" s="133"/>
      <c r="AK164" s="133"/>
      <c r="AS164" s="133"/>
      <c r="AT164" s="133"/>
      <c r="AU164" s="133"/>
      <c r="AV164" s="133"/>
      <c r="AW164" s="133"/>
      <c r="AX164" s="133"/>
    </row>
    <row r="165" spans="1:50" s="4" customFormat="1" x14ac:dyDescent="0.2">
      <c r="A165" s="5"/>
      <c r="C165" s="112"/>
      <c r="D165" s="112"/>
      <c r="F165" s="109"/>
      <c r="I165" s="234"/>
      <c r="J165" s="111"/>
      <c r="K165" s="110"/>
      <c r="L165" s="168"/>
      <c r="M165" s="168"/>
      <c r="O165" s="170"/>
      <c r="P165" s="112"/>
      <c r="Q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12"/>
      <c r="AI165" s="133"/>
      <c r="AJ165" s="133"/>
      <c r="AK165" s="133"/>
      <c r="AS165" s="133"/>
      <c r="AT165" s="133"/>
      <c r="AU165" s="133"/>
      <c r="AV165" s="133"/>
      <c r="AW165" s="133"/>
      <c r="AX165" s="133"/>
    </row>
    <row r="166" spans="1:50" s="4" customFormat="1" x14ac:dyDescent="0.2">
      <c r="A166" s="5"/>
      <c r="C166" s="112"/>
      <c r="D166" s="112"/>
      <c r="F166" s="109"/>
      <c r="I166" s="234"/>
      <c r="J166" s="111"/>
      <c r="K166" s="110"/>
      <c r="L166" s="168"/>
      <c r="M166" s="168"/>
      <c r="O166" s="170"/>
      <c r="P166" s="112"/>
      <c r="Q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12"/>
      <c r="AI166" s="133"/>
      <c r="AJ166" s="133"/>
      <c r="AK166" s="133"/>
      <c r="AS166" s="133"/>
      <c r="AT166" s="133"/>
      <c r="AU166" s="133"/>
      <c r="AV166" s="133"/>
      <c r="AW166" s="133"/>
      <c r="AX166" s="133"/>
    </row>
    <row r="167" spans="1:50" s="4" customFormat="1" x14ac:dyDescent="0.2">
      <c r="A167" s="5"/>
      <c r="C167" s="112"/>
      <c r="D167" s="112"/>
      <c r="F167" s="109"/>
      <c r="I167" s="234"/>
      <c r="J167" s="111"/>
      <c r="K167" s="110"/>
      <c r="L167" s="168"/>
      <c r="M167" s="168"/>
      <c r="O167" s="170"/>
      <c r="P167" s="112"/>
      <c r="Q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12"/>
      <c r="AI167" s="133"/>
      <c r="AJ167" s="133"/>
      <c r="AK167" s="133"/>
      <c r="AS167" s="133"/>
      <c r="AT167" s="133"/>
      <c r="AU167" s="133"/>
      <c r="AV167" s="133"/>
      <c r="AW167" s="133"/>
      <c r="AX167" s="133"/>
    </row>
    <row r="168" spans="1:50" s="4" customFormat="1" x14ac:dyDescent="0.2">
      <c r="A168" s="5"/>
      <c r="C168" s="112"/>
      <c r="D168" s="112"/>
      <c r="F168" s="109"/>
      <c r="I168" s="234"/>
      <c r="J168" s="111"/>
      <c r="K168" s="110"/>
      <c r="L168" s="168"/>
      <c r="M168" s="168"/>
      <c r="O168" s="170"/>
      <c r="P168" s="112"/>
      <c r="Q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12"/>
      <c r="AI168" s="133"/>
      <c r="AJ168" s="133"/>
      <c r="AK168" s="133"/>
      <c r="AS168" s="133"/>
      <c r="AT168" s="133"/>
      <c r="AU168" s="133"/>
      <c r="AV168" s="133"/>
      <c r="AW168" s="133"/>
      <c r="AX168" s="133"/>
    </row>
    <row r="169" spans="1:50" s="4" customFormat="1" x14ac:dyDescent="0.2">
      <c r="A169" s="5"/>
      <c r="C169" s="112"/>
      <c r="D169" s="112"/>
      <c r="F169" s="109"/>
      <c r="I169" s="234"/>
      <c r="J169" s="111"/>
      <c r="K169" s="110"/>
      <c r="L169" s="168"/>
      <c r="M169" s="168"/>
      <c r="O169" s="170"/>
      <c r="P169" s="112"/>
      <c r="Q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12"/>
      <c r="AI169" s="133"/>
      <c r="AJ169" s="133"/>
      <c r="AK169" s="133"/>
      <c r="AS169" s="133"/>
      <c r="AT169" s="133"/>
      <c r="AU169" s="133"/>
      <c r="AV169" s="133"/>
      <c r="AW169" s="133"/>
      <c r="AX169" s="133"/>
    </row>
    <row r="170" spans="1:50" s="4" customFormat="1" x14ac:dyDescent="0.2">
      <c r="A170" s="5"/>
      <c r="C170" s="112"/>
      <c r="D170" s="112"/>
      <c r="F170" s="109"/>
      <c r="I170" s="234"/>
      <c r="J170" s="111"/>
      <c r="K170" s="110"/>
      <c r="L170" s="168"/>
      <c r="M170" s="168"/>
      <c r="O170" s="170"/>
      <c r="P170" s="112"/>
      <c r="Q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12"/>
      <c r="AI170" s="133"/>
      <c r="AJ170" s="133"/>
      <c r="AK170" s="133"/>
      <c r="AS170" s="133"/>
      <c r="AT170" s="133"/>
      <c r="AU170" s="133"/>
      <c r="AV170" s="133"/>
      <c r="AW170" s="133"/>
      <c r="AX170" s="133"/>
    </row>
    <row r="171" spans="1:50" s="4" customFormat="1" x14ac:dyDescent="0.2">
      <c r="A171" s="5"/>
      <c r="C171" s="112"/>
      <c r="D171" s="112"/>
      <c r="F171" s="109"/>
      <c r="I171" s="234"/>
      <c r="J171" s="111"/>
      <c r="K171" s="110"/>
      <c r="L171" s="168"/>
      <c r="M171" s="168"/>
      <c r="O171" s="170"/>
      <c r="P171" s="112"/>
      <c r="Q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12"/>
      <c r="AI171" s="133"/>
      <c r="AJ171" s="133"/>
      <c r="AK171" s="133"/>
      <c r="AS171" s="133"/>
      <c r="AT171" s="133"/>
      <c r="AU171" s="133"/>
      <c r="AV171" s="133"/>
      <c r="AW171" s="133"/>
      <c r="AX171" s="133"/>
    </row>
    <row r="172" spans="1:50" s="4" customFormat="1" x14ac:dyDescent="0.2">
      <c r="A172" s="5"/>
      <c r="C172" s="112"/>
      <c r="D172" s="112"/>
      <c r="F172" s="109"/>
      <c r="I172" s="234"/>
      <c r="J172" s="111"/>
      <c r="K172" s="110"/>
      <c r="L172" s="168"/>
      <c r="M172" s="168"/>
      <c r="O172" s="170"/>
      <c r="P172" s="112"/>
      <c r="Q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12"/>
      <c r="AI172" s="133"/>
      <c r="AJ172" s="133"/>
      <c r="AK172" s="133"/>
      <c r="AS172" s="133"/>
      <c r="AT172" s="133"/>
      <c r="AU172" s="133"/>
      <c r="AV172" s="133"/>
      <c r="AW172" s="133"/>
      <c r="AX172" s="133"/>
    </row>
    <row r="173" spans="1:50" s="4" customFormat="1" x14ac:dyDescent="0.2">
      <c r="A173" s="5"/>
      <c r="C173" s="112"/>
      <c r="D173" s="112"/>
      <c r="F173" s="109"/>
      <c r="I173" s="234"/>
      <c r="J173" s="111"/>
      <c r="K173" s="110"/>
      <c r="L173" s="168"/>
      <c r="M173" s="168"/>
      <c r="O173" s="170"/>
      <c r="P173" s="112"/>
      <c r="Q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12"/>
      <c r="AI173" s="133"/>
      <c r="AJ173" s="133"/>
      <c r="AK173" s="133"/>
      <c r="AS173" s="133"/>
      <c r="AT173" s="133"/>
      <c r="AU173" s="133"/>
      <c r="AV173" s="133"/>
      <c r="AW173" s="133"/>
      <c r="AX173" s="133"/>
    </row>
    <row r="174" spans="1:50" s="4" customFormat="1" x14ac:dyDescent="0.2">
      <c r="A174" s="5"/>
      <c r="C174" s="112"/>
      <c r="D174" s="112"/>
      <c r="F174" s="109"/>
      <c r="I174" s="234"/>
      <c r="J174" s="111"/>
      <c r="K174" s="110"/>
      <c r="L174" s="168"/>
      <c r="M174" s="168"/>
      <c r="O174" s="170"/>
      <c r="P174" s="112"/>
      <c r="Q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12"/>
      <c r="AI174" s="133"/>
      <c r="AJ174" s="133"/>
      <c r="AK174" s="133"/>
      <c r="AS174" s="133"/>
      <c r="AT174" s="133"/>
      <c r="AU174" s="133"/>
      <c r="AV174" s="133"/>
      <c r="AW174" s="133"/>
      <c r="AX174" s="133"/>
    </row>
    <row r="175" spans="1:50" s="4" customFormat="1" x14ac:dyDescent="0.2">
      <c r="A175" s="5"/>
      <c r="C175" s="112"/>
      <c r="D175" s="112"/>
      <c r="F175" s="109"/>
      <c r="I175" s="234"/>
      <c r="J175" s="111"/>
      <c r="K175" s="110"/>
      <c r="L175" s="168"/>
      <c r="M175" s="168"/>
      <c r="O175" s="170"/>
      <c r="P175" s="112"/>
      <c r="Q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12"/>
      <c r="AI175" s="133"/>
      <c r="AJ175" s="133"/>
      <c r="AK175" s="133"/>
      <c r="AS175" s="133"/>
      <c r="AT175" s="133"/>
      <c r="AU175" s="133"/>
      <c r="AV175" s="133"/>
      <c r="AW175" s="133"/>
      <c r="AX175" s="133"/>
    </row>
    <row r="176" spans="1:50" s="4" customFormat="1" x14ac:dyDescent="0.2">
      <c r="A176" s="5"/>
      <c r="C176" s="112"/>
      <c r="D176" s="112"/>
      <c r="F176" s="109"/>
      <c r="I176" s="234"/>
      <c r="J176" s="111"/>
      <c r="K176" s="110"/>
      <c r="L176" s="168"/>
      <c r="M176" s="168"/>
      <c r="O176" s="170"/>
      <c r="P176" s="112"/>
      <c r="Q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12"/>
      <c r="AI176" s="133"/>
      <c r="AJ176" s="133"/>
      <c r="AK176" s="133"/>
      <c r="AS176" s="133"/>
      <c r="AT176" s="133"/>
      <c r="AU176" s="133"/>
      <c r="AV176" s="133"/>
      <c r="AW176" s="133"/>
      <c r="AX176" s="133"/>
    </row>
  </sheetData>
  <sheetProtection algorithmName="SHA-512" hashValue="udOZZhhxCp/EH4MaoEQQS0TX1AAyO7IRn5rs5xoz9X6pJvm2AAmZ8YYWmaK6xNDb6otxmB5uKXD8wXtVn632QA==" saltValue="bgBI2fkW1ohbCQG1qP58EQ==" spinCount="100000" sheet="1" selectLockedCells="1"/>
  <dataConsolidate>
    <dataRefs count="1">
      <dataRef ref="C13" sheet="Ottelu 1"/>
    </dataRefs>
  </dataConsolidate>
  <mergeCells count="107">
    <mergeCell ref="A140:C140"/>
    <mergeCell ref="O140:Q140"/>
    <mergeCell ref="A141:C141"/>
    <mergeCell ref="O141:Q141"/>
    <mergeCell ref="A142:C142"/>
    <mergeCell ref="O142:Q142"/>
    <mergeCell ref="A146:C146"/>
    <mergeCell ref="O146:Q146"/>
    <mergeCell ref="A147:C147"/>
    <mergeCell ref="O147:Q147"/>
    <mergeCell ref="A143:C143"/>
    <mergeCell ref="O143:Q143"/>
    <mergeCell ref="A144:C144"/>
    <mergeCell ref="O144:Q144"/>
    <mergeCell ref="A145:C145"/>
    <mergeCell ref="O145:Q145"/>
    <mergeCell ref="A132:A134"/>
    <mergeCell ref="I119:J119"/>
    <mergeCell ref="A122:A124"/>
    <mergeCell ref="C130:G130"/>
    <mergeCell ref="L130:R130"/>
    <mergeCell ref="I131:J131"/>
    <mergeCell ref="C106:G106"/>
    <mergeCell ref="L106:R106"/>
    <mergeCell ref="I107:J107"/>
    <mergeCell ref="A110:A112"/>
    <mergeCell ref="C118:G118"/>
    <mergeCell ref="L118:R118"/>
    <mergeCell ref="I83:J83"/>
    <mergeCell ref="A86:A88"/>
    <mergeCell ref="C94:G94"/>
    <mergeCell ref="L94:R94"/>
    <mergeCell ref="I95:J95"/>
    <mergeCell ref="A98:A100"/>
    <mergeCell ref="C70:G70"/>
    <mergeCell ref="L70:R70"/>
    <mergeCell ref="I71:J71"/>
    <mergeCell ref="A74:A76"/>
    <mergeCell ref="C82:G82"/>
    <mergeCell ref="L82:R82"/>
    <mergeCell ref="I47:J47"/>
    <mergeCell ref="A50:A52"/>
    <mergeCell ref="C58:G58"/>
    <mergeCell ref="L58:R58"/>
    <mergeCell ref="I59:J59"/>
    <mergeCell ref="A62:A64"/>
    <mergeCell ref="B32:S32"/>
    <mergeCell ref="C34:G34"/>
    <mergeCell ref="L34:R34"/>
    <mergeCell ref="I35:J35"/>
    <mergeCell ref="A38:A40"/>
    <mergeCell ref="C46:G46"/>
    <mergeCell ref="L46:R46"/>
    <mergeCell ref="C15:G15"/>
    <mergeCell ref="J15:O15"/>
    <mergeCell ref="C19:G19"/>
    <mergeCell ref="AH8:AK8"/>
    <mergeCell ref="AD13:AK13"/>
    <mergeCell ref="B29:F29"/>
    <mergeCell ref="G29:N29"/>
    <mergeCell ref="O29:V29"/>
    <mergeCell ref="W29:AH29"/>
    <mergeCell ref="B27:F27"/>
    <mergeCell ref="G27:N27"/>
    <mergeCell ref="O27:V27"/>
    <mergeCell ref="W27:AH27"/>
    <mergeCell ref="B28:F28"/>
    <mergeCell ref="G28:N28"/>
    <mergeCell ref="O28:V28"/>
    <mergeCell ref="W28:AH28"/>
    <mergeCell ref="B26:F26"/>
    <mergeCell ref="G26:N26"/>
    <mergeCell ref="O26:V26"/>
    <mergeCell ref="W26:AH26"/>
    <mergeCell ref="J16:O16"/>
    <mergeCell ref="J17:O17"/>
    <mergeCell ref="C20:G20"/>
    <mergeCell ref="C21:G21"/>
    <mergeCell ref="J21:O21"/>
    <mergeCell ref="B23:P23"/>
    <mergeCell ref="J18:O18"/>
    <mergeCell ref="J19:O19"/>
    <mergeCell ref="J20:O20"/>
    <mergeCell ref="C16:G16"/>
    <mergeCell ref="C17:G17"/>
    <mergeCell ref="C18:G18"/>
    <mergeCell ref="L4:N4"/>
    <mergeCell ref="F5:M5"/>
    <mergeCell ref="S5:T5"/>
    <mergeCell ref="V5:W5"/>
    <mergeCell ref="Y5:AD5"/>
    <mergeCell ref="AF9:AG9"/>
    <mergeCell ref="AF10:AG10"/>
    <mergeCell ref="T2:X2"/>
    <mergeCell ref="J14:O14"/>
    <mergeCell ref="C14:G14"/>
    <mergeCell ref="AF11:AG11"/>
    <mergeCell ref="AF12:AG12"/>
    <mergeCell ref="AD9:AE9"/>
    <mergeCell ref="AD10:AE10"/>
    <mergeCell ref="AD11:AE11"/>
    <mergeCell ref="AD12:AE12"/>
    <mergeCell ref="AD8:AE8"/>
    <mergeCell ref="C11:L11"/>
    <mergeCell ref="C12:L12"/>
    <mergeCell ref="C9:L9"/>
    <mergeCell ref="C10:L10"/>
  </mergeCells>
  <conditionalFormatting sqref="A118:A121 B70:B77 A116 A70:A73 B68 O128:R128 C71:D72 C119:D120 C128:D128 N71:S80 B118:B125 F128:G128 S118:S128 O119:R119 C80:D80 F119:G125 K80:M80 L71:M72 K70:K77 H118:J118 K118:K125 K128:M128 H70:J70 E119:E128 N119:N128 L119:M120 E72:J80 E71:G71 H120:J128 O120:P125 A77:A80 A125:A128 A21 A14:A18 S21 S14:S18 U21:AK21 I21 I14:I18 Q21 Q14:Q18 S70 U14:AK18">
    <cfRule type="expression" dxfId="11" priority="30" stopIfTrue="1">
      <formula>#REF!="x"</formula>
    </cfRule>
  </conditionalFormatting>
  <conditionalFormatting sqref="T14:T21">
    <cfRule type="expression" dxfId="10" priority="29" stopIfTrue="1">
      <formula>SUM($V$14:$AB$14,$AD$14:$AJ$14)=0</formula>
    </cfRule>
  </conditionalFormatting>
  <conditionalFormatting sqref="R22 T22">
    <cfRule type="expression" dxfId="9" priority="22" stopIfTrue="1">
      <formula>SUM($R$14:$R$20,$T$14:$T$20)=0</formula>
    </cfRule>
  </conditionalFormatting>
  <conditionalFormatting sqref="C134:D135 L134:L135 C130:G130 A135:A136 N132:N136 B132:B135 S132:S136 F132:G135 M132:M135 K132:K135 E132:E136 H132:J136 O132:P135">
    <cfRule type="expression" dxfId="8" priority="19" stopIfTrue="1">
      <formula>#REF!="x"</formula>
    </cfRule>
  </conditionalFormatting>
  <conditionalFormatting sqref="R14:R21">
    <cfRule type="expression" dxfId="7" priority="13" stopIfTrue="1">
      <formula>SUM($V$14:$AB$14,$AD$14:$AJ$14)=0</formula>
    </cfRule>
  </conditionalFormatting>
  <conditionalFormatting sqref="O26:O29">
    <cfRule type="cellIs" dxfId="6" priority="9" stopIfTrue="1" operator="equal">
      <formula>0</formula>
    </cfRule>
  </conditionalFormatting>
  <conditionalFormatting sqref="B26:F29">
    <cfRule type="cellIs" dxfId="5" priority="8" stopIfTrue="1" operator="equal">
      <formula>0</formula>
    </cfRule>
  </conditionalFormatting>
  <conditionalFormatting sqref="L4">
    <cfRule type="cellIs" dxfId="4" priority="5" stopIfTrue="1" operator="equal">
      <formula>0</formula>
    </cfRule>
  </conditionalFormatting>
  <conditionalFormatting sqref="B80">
    <cfRule type="expression" dxfId="3" priority="4" stopIfTrue="1">
      <formula>#REF!="x"</formula>
    </cfRule>
  </conditionalFormatting>
  <conditionalFormatting sqref="B128">
    <cfRule type="expression" dxfId="2" priority="3" stopIfTrue="1">
      <formula>#REF!="x"</formula>
    </cfRule>
  </conditionalFormatting>
  <conditionalFormatting sqref="T2">
    <cfRule type="cellIs" dxfId="1" priority="2" stopIfTrue="1" operator="equal">
      <formula>0</formula>
    </cfRule>
  </conditionalFormatting>
  <conditionalFormatting sqref="A13">
    <cfRule type="expression" dxfId="0" priority="1" stopIfTrue="1">
      <formula>#REF!="x"</formula>
    </cfRule>
  </conditionalFormatting>
  <printOptions horizontalCentered="1"/>
  <pageMargins left="0" right="0" top="0.59055118110236227" bottom="1.3385826771653544" header="0" footer="0"/>
  <pageSetup paperSize="9" scale="64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5"/>
  <sheetViews>
    <sheetView showGridLines="0" zoomScale="70" zoomScaleNormal="70" workbookViewId="0">
      <selection activeCell="B3" sqref="B3:B13"/>
    </sheetView>
  </sheetViews>
  <sheetFormatPr defaultColWidth="9.140625" defaultRowHeight="15" x14ac:dyDescent="0.2"/>
  <cols>
    <col min="1" max="1" width="9.140625" style="13"/>
    <col min="2" max="2" width="94.5703125" style="15" customWidth="1"/>
    <col min="3" max="3" width="1.7109375" style="26" customWidth="1"/>
    <col min="4" max="4" width="2.140625" style="27" customWidth="1"/>
    <col min="5" max="5" width="3.42578125" style="27" customWidth="1"/>
    <col min="6" max="6" width="4.5703125" style="27" customWidth="1"/>
    <col min="7" max="7" width="3.140625" style="27" customWidth="1"/>
    <col min="8" max="12" width="9.140625" style="27"/>
    <col min="13" max="16384" width="9.140625" style="13"/>
  </cols>
  <sheetData>
    <row r="1" spans="2:12" s="12" customFormat="1" ht="8.25" customHeight="1" x14ac:dyDescent="0.2">
      <c r="B1" s="15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" x14ac:dyDescent="0.25">
      <c r="B2" s="29"/>
    </row>
    <row r="3" spans="2:12" ht="60.75" x14ac:dyDescent="0.2">
      <c r="B3" s="353" t="s">
        <v>87</v>
      </c>
    </row>
    <row r="4" spans="2:12" ht="33" customHeight="1" x14ac:dyDescent="0.25">
      <c r="B4" s="354" t="s">
        <v>40</v>
      </c>
    </row>
    <row r="5" spans="2:12" ht="75" x14ac:dyDescent="0.2">
      <c r="B5" s="45" t="s">
        <v>79</v>
      </c>
    </row>
    <row r="6" spans="2:12" ht="21.75" customHeight="1" x14ac:dyDescent="0.25">
      <c r="B6" s="354" t="s">
        <v>80</v>
      </c>
    </row>
    <row r="7" spans="2:12" ht="39" customHeight="1" x14ac:dyDescent="0.2">
      <c r="B7" s="355" t="s">
        <v>83</v>
      </c>
    </row>
    <row r="8" spans="2:12" ht="30.75" customHeight="1" x14ac:dyDescent="0.25">
      <c r="B8" s="354" t="s">
        <v>39</v>
      </c>
    </row>
    <row r="9" spans="2:12" ht="30.75" x14ac:dyDescent="0.2">
      <c r="B9" s="48" t="s">
        <v>88</v>
      </c>
    </row>
    <row r="10" spans="2:12" ht="30" x14ac:dyDescent="0.2">
      <c r="B10" s="46" t="s">
        <v>59</v>
      </c>
    </row>
    <row r="11" spans="2:12" ht="66.75" customHeight="1" x14ac:dyDescent="0.2">
      <c r="B11" s="49" t="s">
        <v>75</v>
      </c>
    </row>
    <row r="12" spans="2:12" ht="53.25" customHeight="1" x14ac:dyDescent="0.2">
      <c r="B12" s="164" t="s">
        <v>89</v>
      </c>
    </row>
    <row r="13" spans="2:12" ht="31.5" x14ac:dyDescent="0.2">
      <c r="B13" s="165" t="s">
        <v>74</v>
      </c>
    </row>
    <row r="14" spans="2:12" ht="12.75" x14ac:dyDescent="0.2">
      <c r="B14" s="12"/>
    </row>
    <row r="15" spans="2:12" x14ac:dyDescent="0.2">
      <c r="B15" s="47"/>
    </row>
  </sheetData>
  <sheetProtection algorithmName="SHA-512" hashValue="xpGixjny581Z3ZoPSvrg7GHf0R1qJjrhDiM1xjfQVyzaxUT9QTkjSgLg8TiiVV/Y9fnXDxiykK7pdWFptvl9jQ==" saltValue="OUOS/S8Gu0OtZgWm26kK9w==" spinCount="100000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23</vt:i4>
      </vt:variant>
    </vt:vector>
  </HeadingPairs>
  <TitlesOfParts>
    <vt:vector size="27" baseType="lpstr">
      <vt:lpstr>tilasto</vt:lpstr>
      <vt:lpstr>Ottelu 1</vt:lpstr>
      <vt:lpstr>Ottelu 2</vt:lpstr>
      <vt:lpstr>OHJE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'Ottelu 2'!top</vt:lpstr>
      <vt:lpstr>OHJE!Tulostusalue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2021-12-11T14:10:35Z</cp:lastPrinted>
  <dcterms:created xsi:type="dcterms:W3CDTF">2000-08-29T07:02:42Z</dcterms:created>
  <dcterms:modified xsi:type="dcterms:W3CDTF">2021-12-11T14:11:05Z</dcterms:modified>
</cp:coreProperties>
</file>